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165" windowHeight="91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<sst xmlns="http://schemas.openxmlformats.org/spreadsheetml/2006/main" count="120" uniqueCount="29">
  <si>
    <t>Disziplin</t>
  </si>
  <si>
    <t>Leistung</t>
  </si>
  <si>
    <t>Format</t>
  </si>
  <si>
    <t>sec</t>
  </si>
  <si>
    <t>:</t>
  </si>
  <si>
    <t>.</t>
  </si>
  <si>
    <t>mm:ss.hh</t>
  </si>
  <si>
    <t>3000st</t>
  </si>
  <si>
    <t>60h</t>
  </si>
  <si>
    <t>100h</t>
  </si>
  <si>
    <t>110h</t>
  </si>
  <si>
    <t>400h</t>
  </si>
  <si>
    <t>Hoch</t>
  </si>
  <si>
    <t>m</t>
  </si>
  <si>
    <t>Weit</t>
  </si>
  <si>
    <t>Stab</t>
  </si>
  <si>
    <t>Kugel</t>
  </si>
  <si>
    <t>Speer</t>
  </si>
  <si>
    <t>Diskus</t>
  </si>
  <si>
    <t>Hammer</t>
  </si>
  <si>
    <t>Drei</t>
  </si>
  <si>
    <t>Männer</t>
  </si>
  <si>
    <t>Frauen</t>
  </si>
  <si>
    <t>IAAF</t>
  </si>
  <si>
    <t>in ss</t>
  </si>
  <si>
    <t>in hh</t>
  </si>
  <si>
    <t>200m Hü</t>
  </si>
  <si>
    <t>200h</t>
  </si>
  <si>
    <t>BLV Punkterechner IAAF-Tabelle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</si>
</sst>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0"/>
    <numFmt numFmtId="165" formatCode="#.0"/>
    <numFmt numFmtId="166" formatCode="000"/>
    <numFmt numFmtId="167" formatCode="0.0"/>
    <numFmt numFmtId="168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 horizontal="left" vertical="center"/>
    </xf>
    <xf numFmtId="164" fontId="0" fillId="2" borderId="2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6" xfId="0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/>
    </xf>
    <xf numFmtId="0" fontId="2" fillId="4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2" borderId="2" xfId="0" applyNumberFormat="1" applyFont="1" applyFill="1" applyBorder="1" applyAlignment="1">
      <alignment horizontal="right"/>
    </xf>
    <xf numFmtId="2" fontId="0" fillId="2" borderId="16" xfId="0" applyNumberFormat="1" applyFont="1" applyFill="1" applyBorder="1" applyAlignment="1">
      <alignment horizontal="right"/>
    </xf>
    <xf numFmtId="2" fontId="0" fillId="2" borderId="17" xfId="0" applyNumberFormat="1" applyFont="1" applyFill="1" applyBorder="1" applyAlignment="1">
      <alignment horizontal="right"/>
    </xf>
    <xf numFmtId="164" fontId="0" fillId="2" borderId="14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top"/>
    </xf>
    <xf numFmtId="0" fontId="2" fillId="5" borderId="19" xfId="0" applyFont="1" applyFill="1" applyBorder="1" applyAlignment="1">
      <alignment horizontal="center" vertical="top"/>
    </xf>
    <xf numFmtId="0" fontId="0" fillId="0" borderId="20" xfId="0" applyFont="1" applyBorder="1" applyAlignment="1">
      <alignment horizontal="left" vertical="center"/>
    </xf>
    <xf numFmtId="0" fontId="0" fillId="5" borderId="21" xfId="0" applyFill="1" applyBorder="1" applyAlignment="1">
      <alignment/>
    </xf>
    <xf numFmtId="0" fontId="2" fillId="5" borderId="22" xfId="0" applyFont="1" applyFill="1" applyBorder="1" applyAlignment="1">
      <alignment horizontal="center" vertical="top"/>
    </xf>
    <xf numFmtId="0" fontId="2" fillId="5" borderId="23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20" xfId="0" applyFont="1" applyBorder="1" applyAlignment="1">
      <alignment horizontal="left" vertical="center" wrapText="1"/>
    </xf>
    <xf numFmtId="0" fontId="0" fillId="5" borderId="21" xfId="0" applyFill="1" applyBorder="1" applyAlignment="1">
      <alignment horizontal="right"/>
    </xf>
    <xf numFmtId="0" fontId="3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workbookViewId="0" topLeftCell="A1">
      <selection activeCell="I72" sqref="I72"/>
    </sheetView>
  </sheetViews>
  <sheetFormatPr defaultColWidth="11.421875" defaultRowHeight="12.75"/>
  <cols>
    <col min="1" max="1" width="17.00390625" style="0" customWidth="1"/>
    <col min="2" max="2" width="3.7109375" style="0" customWidth="1"/>
    <col min="3" max="3" width="1.1484375" style="14" customWidth="1"/>
    <col min="4" max="4" width="3.140625" style="0" customWidth="1"/>
    <col min="5" max="5" width="0.9921875" style="14" customWidth="1"/>
    <col min="6" max="6" width="3.28125" style="0" customWidth="1"/>
    <col min="7" max="7" width="6.140625" style="0" hidden="1" customWidth="1"/>
    <col min="8" max="8" width="8.8515625" style="0" hidden="1" customWidth="1"/>
    <col min="9" max="9" width="9.28125" style="0" bestFit="1" customWidth="1"/>
    <col min="10" max="11" width="11.7109375" style="0" customWidth="1"/>
    <col min="12" max="13" width="8.7109375" style="0" customWidth="1"/>
    <col min="14" max="14" width="8.7109375" style="13" customWidth="1"/>
    <col min="15" max="15" width="8.7109375" style="0" customWidth="1"/>
  </cols>
  <sheetData>
    <row r="1" spans="1:15" ht="30" customHeight="1" thickBot="1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4" ht="12.75">
      <c r="A2" s="18" t="s">
        <v>21</v>
      </c>
      <c r="B2" s="19"/>
      <c r="C2" s="20"/>
      <c r="D2" s="19"/>
      <c r="E2" s="20"/>
      <c r="F2" s="19"/>
      <c r="G2" s="19"/>
      <c r="H2" s="19"/>
      <c r="I2" s="19"/>
      <c r="J2" s="40" t="s">
        <v>23</v>
      </c>
      <c r="N2"/>
    </row>
    <row r="3" spans="1:14" ht="13.5" thickBot="1">
      <c r="A3" s="21" t="s">
        <v>0</v>
      </c>
      <c r="B3" s="22" t="s">
        <v>1</v>
      </c>
      <c r="C3" s="23"/>
      <c r="D3" s="24"/>
      <c r="E3" s="23"/>
      <c r="F3" s="25"/>
      <c r="G3" s="26" t="s">
        <v>25</v>
      </c>
      <c r="H3" s="26" t="s">
        <v>24</v>
      </c>
      <c r="I3" s="27" t="s">
        <v>2</v>
      </c>
      <c r="J3" s="41"/>
      <c r="N3"/>
    </row>
    <row r="4" spans="1:14" ht="12.75">
      <c r="A4" s="42">
        <v>60</v>
      </c>
      <c r="B4" s="36">
        <v>8.1</v>
      </c>
      <c r="C4" s="37"/>
      <c r="D4" s="37"/>
      <c r="E4" s="37"/>
      <c r="F4" s="38"/>
      <c r="G4" s="2"/>
      <c r="H4" s="2"/>
      <c r="I4" s="1" t="s">
        <v>3</v>
      </c>
      <c r="J4" s="43">
        <f>INT(58.015*(11.5-B4)^1.81)</f>
        <v>531</v>
      </c>
      <c r="N4"/>
    </row>
    <row r="5" spans="1:14" ht="12.75">
      <c r="A5" s="42">
        <v>100</v>
      </c>
      <c r="B5" s="36">
        <v>10.06</v>
      </c>
      <c r="C5" s="37"/>
      <c r="D5" s="37"/>
      <c r="E5" s="37"/>
      <c r="F5" s="38"/>
      <c r="G5" s="2"/>
      <c r="H5" s="2"/>
      <c r="I5" s="1" t="s">
        <v>3</v>
      </c>
      <c r="J5" s="43">
        <f>INT(25.4347*(18-B5)^1.81)</f>
        <v>1081</v>
      </c>
      <c r="N5"/>
    </row>
    <row r="6" spans="1:14" ht="12.75">
      <c r="A6" s="42">
        <v>200</v>
      </c>
      <c r="B6" s="36">
        <v>19.42</v>
      </c>
      <c r="C6" s="37"/>
      <c r="D6" s="37"/>
      <c r="E6" s="37"/>
      <c r="F6" s="38"/>
      <c r="G6" s="2"/>
      <c r="H6" s="2"/>
      <c r="I6" s="1" t="s">
        <v>3</v>
      </c>
      <c r="J6" s="43">
        <f>INT(5.8425*(38-B6)^1.81)</f>
        <v>1157</v>
      </c>
      <c r="N6"/>
    </row>
    <row r="7" spans="1:14" ht="12.75">
      <c r="A7" s="42">
        <v>300</v>
      </c>
      <c r="B7" s="36">
        <v>44.92</v>
      </c>
      <c r="C7" s="37"/>
      <c r="D7" s="37"/>
      <c r="E7" s="37"/>
      <c r="F7" s="38"/>
      <c r="G7" s="2"/>
      <c r="H7" s="2"/>
      <c r="I7" s="1" t="s">
        <v>3</v>
      </c>
      <c r="J7" s="43">
        <f>INT(2.58425*(60.1-B7)^1.81)</f>
        <v>355</v>
      </c>
      <c r="N7"/>
    </row>
    <row r="8" spans="1:14" ht="12.75">
      <c r="A8" s="42">
        <v>400</v>
      </c>
      <c r="B8" s="3">
        <v>1</v>
      </c>
      <c r="C8" s="15" t="s">
        <v>4</v>
      </c>
      <c r="D8" s="3">
        <v>1</v>
      </c>
      <c r="E8" s="15" t="s">
        <v>5</v>
      </c>
      <c r="F8" s="3">
        <v>0</v>
      </c>
      <c r="G8" s="4">
        <f aca="true" t="shared" si="0" ref="G8:G14">((B8*60)*100)+(100*D8)+F8</f>
        <v>6100</v>
      </c>
      <c r="H8" s="4">
        <f aca="true" t="shared" si="1" ref="H8:H14">(60*B8)+(D8)+(F8/100)</f>
        <v>61</v>
      </c>
      <c r="I8" s="1" t="s">
        <v>6</v>
      </c>
      <c r="J8" s="43">
        <f>INT(1.53775*(82-G8/100)^1.81)</f>
        <v>380</v>
      </c>
      <c r="N8"/>
    </row>
    <row r="9" spans="1:14" ht="12.75">
      <c r="A9" s="42">
        <v>800</v>
      </c>
      <c r="B9" s="3">
        <v>2</v>
      </c>
      <c r="C9" s="15" t="s">
        <v>4</v>
      </c>
      <c r="D9" s="3">
        <v>9</v>
      </c>
      <c r="E9" s="15" t="s">
        <v>5</v>
      </c>
      <c r="F9" s="3">
        <v>0</v>
      </c>
      <c r="G9" s="4">
        <f t="shared" si="0"/>
        <v>12900</v>
      </c>
      <c r="H9" s="4">
        <f t="shared" si="1"/>
        <v>129</v>
      </c>
      <c r="I9" s="1" t="s">
        <v>6</v>
      </c>
      <c r="J9" s="43">
        <f>INT(0.13279*(235-H9)^1.85)</f>
        <v>741</v>
      </c>
      <c r="N9"/>
    </row>
    <row r="10" spans="1:14" ht="12.75">
      <c r="A10" s="42">
        <v>1000</v>
      </c>
      <c r="B10" s="3">
        <v>3</v>
      </c>
      <c r="C10" s="15" t="s">
        <v>4</v>
      </c>
      <c r="D10" s="3">
        <v>12</v>
      </c>
      <c r="E10" s="15" t="s">
        <v>5</v>
      </c>
      <c r="F10" s="3">
        <v>50</v>
      </c>
      <c r="G10" s="4">
        <f t="shared" si="0"/>
        <v>19250</v>
      </c>
      <c r="H10" s="4">
        <f t="shared" si="1"/>
        <v>192.5</v>
      </c>
      <c r="I10" s="1" t="s">
        <v>6</v>
      </c>
      <c r="J10" s="43">
        <f>INT(0.08713*(305.5-H10)^1.85)</f>
        <v>547</v>
      </c>
      <c r="N10"/>
    </row>
    <row r="11" spans="1:14" ht="12.75">
      <c r="A11" s="42">
        <v>1500</v>
      </c>
      <c r="B11" s="3">
        <v>5</v>
      </c>
      <c r="C11" s="15" t="s">
        <v>4</v>
      </c>
      <c r="D11" s="3">
        <v>1</v>
      </c>
      <c r="E11" s="15" t="s">
        <v>5</v>
      </c>
      <c r="F11" s="3">
        <v>50</v>
      </c>
      <c r="G11" s="4">
        <f t="shared" si="0"/>
        <v>30150</v>
      </c>
      <c r="H11" s="4">
        <f t="shared" si="1"/>
        <v>301.5</v>
      </c>
      <c r="I11" s="1" t="s">
        <v>6</v>
      </c>
      <c r="J11" s="43">
        <f>INT(0.03768*(480-(G11/100))^1.85)</f>
        <v>551</v>
      </c>
      <c r="N11"/>
    </row>
    <row r="12" spans="1:14" ht="12.75">
      <c r="A12" s="42">
        <v>3000</v>
      </c>
      <c r="B12" s="3">
        <v>9</v>
      </c>
      <c r="C12" s="15" t="s">
        <v>4</v>
      </c>
      <c r="D12" s="3">
        <v>55</v>
      </c>
      <c r="E12" s="15" t="s">
        <v>5</v>
      </c>
      <c r="F12" s="3">
        <v>0</v>
      </c>
      <c r="G12" s="4">
        <f t="shared" si="0"/>
        <v>59500</v>
      </c>
      <c r="H12" s="4">
        <f t="shared" si="1"/>
        <v>595</v>
      </c>
      <c r="I12" s="1" t="s">
        <v>6</v>
      </c>
      <c r="J12" s="43">
        <f>INT(0.0105*(1005-(G12/100))^1.85)</f>
        <v>715</v>
      </c>
      <c r="N12"/>
    </row>
    <row r="13" spans="1:14" ht="12.75">
      <c r="A13" s="42">
        <v>5000</v>
      </c>
      <c r="B13" s="3">
        <v>13</v>
      </c>
      <c r="C13" s="15"/>
      <c r="D13" s="3">
        <v>56</v>
      </c>
      <c r="E13" s="15"/>
      <c r="F13" s="3">
        <v>88</v>
      </c>
      <c r="G13" s="4">
        <f t="shared" si="0"/>
        <v>83688</v>
      </c>
      <c r="H13" s="4">
        <f t="shared" si="1"/>
        <v>836.88</v>
      </c>
      <c r="I13" s="1" t="s">
        <v>6</v>
      </c>
      <c r="J13" s="43">
        <f>INT(0.00419*(1680-(G13/100))^1.85)</f>
        <v>1084</v>
      </c>
      <c r="N13"/>
    </row>
    <row r="14" spans="1:14" ht="12.75">
      <c r="A14" s="42">
        <v>10000</v>
      </c>
      <c r="B14" s="3">
        <v>29</v>
      </c>
      <c r="C14" s="15" t="s">
        <v>4</v>
      </c>
      <c r="D14" s="3">
        <v>5</v>
      </c>
      <c r="E14" s="15" t="s">
        <v>5</v>
      </c>
      <c r="F14" s="3">
        <v>0</v>
      </c>
      <c r="G14" s="4">
        <f t="shared" si="0"/>
        <v>174500</v>
      </c>
      <c r="H14" s="4">
        <f t="shared" si="1"/>
        <v>1745</v>
      </c>
      <c r="I14" s="1" t="s">
        <v>6</v>
      </c>
      <c r="J14" s="43">
        <f>INT(0.000415*(4245-(G14/100))^1.9)</f>
        <v>1186</v>
      </c>
      <c r="N14"/>
    </row>
    <row r="15" spans="1:14" ht="12.75">
      <c r="A15" s="42" t="s">
        <v>8</v>
      </c>
      <c r="B15" s="36">
        <v>9.59</v>
      </c>
      <c r="C15" s="37"/>
      <c r="D15" s="37"/>
      <c r="E15" s="37"/>
      <c r="F15" s="38"/>
      <c r="G15" s="4"/>
      <c r="H15" s="4"/>
      <c r="I15" s="1" t="s">
        <v>3</v>
      </c>
      <c r="J15" s="43">
        <f>INT(20.5173*(15.5-B15)^1.92)</f>
        <v>621</v>
      </c>
      <c r="N15"/>
    </row>
    <row r="16" spans="1:14" ht="12.75">
      <c r="A16" s="42" t="s">
        <v>10</v>
      </c>
      <c r="B16" s="36">
        <v>14</v>
      </c>
      <c r="C16" s="37"/>
      <c r="D16" s="37"/>
      <c r="E16" s="37"/>
      <c r="F16" s="38"/>
      <c r="G16" s="4"/>
      <c r="H16" s="4"/>
      <c r="I16" s="1" t="s">
        <v>3</v>
      </c>
      <c r="J16" s="43">
        <f>INT(5.74325*(28.5-B16)^1.92)</f>
        <v>974</v>
      </c>
      <c r="N16"/>
    </row>
    <row r="17" spans="1:14" ht="12.75">
      <c r="A17" s="42" t="s">
        <v>26</v>
      </c>
      <c r="B17" s="36">
        <v>32.45</v>
      </c>
      <c r="C17" s="37"/>
      <c r="D17" s="37"/>
      <c r="E17" s="37"/>
      <c r="F17" s="38"/>
      <c r="G17" s="4"/>
      <c r="H17" s="4"/>
      <c r="I17" s="1" t="s">
        <v>3</v>
      </c>
      <c r="J17" s="43">
        <f>INT(3.495*(45.5-B17)^1.81)</f>
        <v>365</v>
      </c>
      <c r="N17"/>
    </row>
    <row r="18" spans="1:14" ht="12.75">
      <c r="A18" s="42" t="s">
        <v>11</v>
      </c>
      <c r="B18" s="3">
        <v>0</v>
      </c>
      <c r="C18" s="15" t="s">
        <v>4</v>
      </c>
      <c r="D18" s="3">
        <v>57</v>
      </c>
      <c r="E18" s="15" t="s">
        <v>5</v>
      </c>
      <c r="F18" s="3">
        <v>0</v>
      </c>
      <c r="G18" s="4">
        <f>((B18*60)*100)+(100*D18)+F18</f>
        <v>5700</v>
      </c>
      <c r="H18" s="4">
        <f>(60*B18)+(D18)+(F18/100)</f>
        <v>57</v>
      </c>
      <c r="I18" s="1" t="s">
        <v>6</v>
      </c>
      <c r="J18" s="43">
        <f>INT(1.1466*(92-H18)^1.81)</f>
        <v>714</v>
      </c>
      <c r="N18"/>
    </row>
    <row r="19" spans="1:14" ht="12.75">
      <c r="A19" s="42" t="s">
        <v>7</v>
      </c>
      <c r="B19" s="3">
        <v>10</v>
      </c>
      <c r="C19" s="15" t="s">
        <v>4</v>
      </c>
      <c r="D19" s="3">
        <v>26</v>
      </c>
      <c r="E19" s="15" t="s">
        <v>5</v>
      </c>
      <c r="F19" s="3">
        <v>11</v>
      </c>
      <c r="G19" s="4">
        <f>((B19*60)*100)+(100*D19)+F19</f>
        <v>62611</v>
      </c>
      <c r="H19" s="4">
        <f>(60*B19)+(D19)+(F19/100)</f>
        <v>626.11</v>
      </c>
      <c r="I19" s="1" t="s">
        <v>6</v>
      </c>
      <c r="J19" s="43">
        <f>INT(0.00511*(1155-(G19/100))^1.9)</f>
        <v>763</v>
      </c>
      <c r="N19"/>
    </row>
    <row r="20" spans="1:14" ht="12.75">
      <c r="A20" s="42" t="s">
        <v>12</v>
      </c>
      <c r="B20" s="36">
        <v>1.8</v>
      </c>
      <c r="C20" s="37"/>
      <c r="D20" s="37"/>
      <c r="E20" s="37"/>
      <c r="F20" s="38"/>
      <c r="G20" s="4"/>
      <c r="H20" s="4"/>
      <c r="I20" s="1" t="s">
        <v>13</v>
      </c>
      <c r="J20" s="43">
        <f>INT(0.8465*(B20*100-75)^1.42)</f>
        <v>627</v>
      </c>
      <c r="N20"/>
    </row>
    <row r="21" spans="1:14" ht="12.75">
      <c r="A21" s="42" t="s">
        <v>14</v>
      </c>
      <c r="B21" s="36">
        <v>6.29</v>
      </c>
      <c r="C21" s="37"/>
      <c r="D21" s="37"/>
      <c r="E21" s="37"/>
      <c r="F21" s="38"/>
      <c r="G21" s="4"/>
      <c r="H21" s="4"/>
      <c r="I21" s="1" t="s">
        <v>13</v>
      </c>
      <c r="J21" s="43">
        <f>INT(0.14354*(B21*100-220)^1.4)</f>
        <v>650</v>
      </c>
      <c r="N21"/>
    </row>
    <row r="22" spans="1:14" ht="12.75">
      <c r="A22" s="42" t="s">
        <v>20</v>
      </c>
      <c r="B22" s="36">
        <v>14.55</v>
      </c>
      <c r="C22" s="37"/>
      <c r="D22" s="37"/>
      <c r="E22" s="37"/>
      <c r="F22" s="38"/>
      <c r="G22" s="4"/>
      <c r="H22" s="4"/>
      <c r="I22" s="1" t="s">
        <v>13</v>
      </c>
      <c r="J22" s="43">
        <f>INT(0.06533*(B22*100-640)^1.4)</f>
        <v>777</v>
      </c>
      <c r="N22"/>
    </row>
    <row r="23" spans="1:14" ht="12.75">
      <c r="A23" s="42" t="s">
        <v>15</v>
      </c>
      <c r="B23" s="36">
        <v>5.1</v>
      </c>
      <c r="C23" s="37"/>
      <c r="D23" s="37"/>
      <c r="E23" s="37"/>
      <c r="F23" s="38"/>
      <c r="G23" s="4"/>
      <c r="H23" s="4"/>
      <c r="I23" s="1" t="s">
        <v>13</v>
      </c>
      <c r="J23" s="43">
        <f>INT(0.2797*(B23*100-100)^1.35)</f>
        <v>941</v>
      </c>
      <c r="N23"/>
    </row>
    <row r="24" spans="1:14" ht="12.75">
      <c r="A24" s="42" t="s">
        <v>16</v>
      </c>
      <c r="B24" s="36">
        <v>18.45</v>
      </c>
      <c r="C24" s="37"/>
      <c r="D24" s="37"/>
      <c r="E24" s="37"/>
      <c r="F24" s="38"/>
      <c r="G24" s="4"/>
      <c r="H24" s="4"/>
      <c r="I24" s="1" t="s">
        <v>13</v>
      </c>
      <c r="J24" s="43">
        <f>INT(51.39*(B24-1.5)^1.05)</f>
        <v>1003</v>
      </c>
      <c r="N24"/>
    </row>
    <row r="25" spans="1:14" ht="12.75">
      <c r="A25" s="42" t="s">
        <v>17</v>
      </c>
      <c r="B25" s="36">
        <v>47</v>
      </c>
      <c r="C25" s="37"/>
      <c r="D25" s="37"/>
      <c r="E25" s="37"/>
      <c r="F25" s="38"/>
      <c r="G25" s="4"/>
      <c r="H25" s="4"/>
      <c r="I25" s="1" t="s">
        <v>13</v>
      </c>
      <c r="J25" s="43">
        <f>INT(10.14*(B25-7)^1.08)</f>
        <v>544</v>
      </c>
      <c r="N25"/>
    </row>
    <row r="26" spans="1:14" ht="12.75">
      <c r="A26" s="42" t="s">
        <v>18</v>
      </c>
      <c r="B26" s="36">
        <v>46.7</v>
      </c>
      <c r="C26" s="37"/>
      <c r="D26" s="37"/>
      <c r="E26" s="37"/>
      <c r="F26" s="38"/>
      <c r="G26" s="4"/>
      <c r="H26" s="4"/>
      <c r="I26" s="1" t="s">
        <v>13</v>
      </c>
      <c r="J26" s="43">
        <f>INT(12.91*(B26-4)^1.1)</f>
        <v>802</v>
      </c>
      <c r="N26"/>
    </row>
    <row r="27" spans="1:14" ht="12.75">
      <c r="A27" s="42" t="s">
        <v>19</v>
      </c>
      <c r="B27" s="36">
        <v>58</v>
      </c>
      <c r="C27" s="37"/>
      <c r="D27" s="37"/>
      <c r="E27" s="37"/>
      <c r="F27" s="38"/>
      <c r="G27" s="4"/>
      <c r="H27" s="4"/>
      <c r="I27" s="1" t="s">
        <v>13</v>
      </c>
      <c r="J27" s="43">
        <f>INT(13.0449*(B27-7)^1.05)</f>
        <v>809</v>
      </c>
      <c r="N27"/>
    </row>
    <row r="28" spans="1:14" ht="13.5" thickBot="1">
      <c r="A28" s="7"/>
      <c r="B28" s="8"/>
      <c r="C28" s="16"/>
      <c r="D28" s="8"/>
      <c r="E28" s="16"/>
      <c r="F28" s="8"/>
      <c r="G28" s="9"/>
      <c r="H28" s="9"/>
      <c r="I28" s="10"/>
      <c r="N28"/>
    </row>
    <row r="29" spans="1:14" ht="12.75">
      <c r="A29" s="28" t="s">
        <v>22</v>
      </c>
      <c r="B29" s="29"/>
      <c r="C29" s="30"/>
      <c r="D29" s="29"/>
      <c r="E29" s="30"/>
      <c r="F29" s="29"/>
      <c r="G29" s="31"/>
      <c r="H29" s="31"/>
      <c r="I29" s="32"/>
      <c r="J29" s="44" t="s">
        <v>23</v>
      </c>
      <c r="N29"/>
    </row>
    <row r="30" spans="1:14" ht="13.5" thickBot="1">
      <c r="A30" s="33" t="s">
        <v>0</v>
      </c>
      <c r="B30" s="39" t="s">
        <v>1</v>
      </c>
      <c r="C30" s="39"/>
      <c r="D30" s="39"/>
      <c r="E30" s="39"/>
      <c r="F30" s="39"/>
      <c r="G30" s="34"/>
      <c r="H30" s="34"/>
      <c r="I30" s="35" t="s">
        <v>2</v>
      </c>
      <c r="J30" s="45"/>
      <c r="N30"/>
    </row>
    <row r="31" spans="1:14" ht="12.75">
      <c r="A31" s="47">
        <v>60</v>
      </c>
      <c r="B31" s="36">
        <v>8.1</v>
      </c>
      <c r="C31" s="37"/>
      <c r="D31" s="37"/>
      <c r="E31" s="37"/>
      <c r="F31" s="38"/>
      <c r="G31" s="46"/>
      <c r="H31" s="2"/>
      <c r="I31" s="6" t="s">
        <v>3</v>
      </c>
      <c r="J31" s="43">
        <f>INT(46.0849*(13-B31)^1.81)</f>
        <v>818</v>
      </c>
      <c r="N31"/>
    </row>
    <row r="32" spans="1:14" ht="12.75">
      <c r="A32" s="47">
        <v>100</v>
      </c>
      <c r="B32" s="36">
        <v>12.17</v>
      </c>
      <c r="C32" s="37"/>
      <c r="D32" s="37"/>
      <c r="E32" s="37"/>
      <c r="F32" s="38"/>
      <c r="G32" s="46"/>
      <c r="H32" s="2"/>
      <c r="I32" s="6" t="s">
        <v>3</v>
      </c>
      <c r="J32" s="43">
        <f>INT(17.857*(21-B32)^1.81)</f>
        <v>920</v>
      </c>
      <c r="N32"/>
    </row>
    <row r="33" spans="1:14" ht="12.75">
      <c r="A33" s="47">
        <v>200</v>
      </c>
      <c r="B33" s="36">
        <v>25.7</v>
      </c>
      <c r="C33" s="37"/>
      <c r="D33" s="37"/>
      <c r="E33" s="37"/>
      <c r="F33" s="38"/>
      <c r="G33" s="46"/>
      <c r="H33" s="2"/>
      <c r="I33" s="6" t="s">
        <v>3</v>
      </c>
      <c r="J33" s="43">
        <f>INT(4.99087*(42.5-B33)^1.81)</f>
        <v>824</v>
      </c>
      <c r="N33"/>
    </row>
    <row r="34" spans="1:14" ht="12.75">
      <c r="A34" s="42">
        <v>400</v>
      </c>
      <c r="B34" s="3">
        <v>1</v>
      </c>
      <c r="C34" s="15" t="s">
        <v>4</v>
      </c>
      <c r="D34" s="3">
        <v>1</v>
      </c>
      <c r="E34" s="15" t="s">
        <v>5</v>
      </c>
      <c r="F34" s="3">
        <v>0</v>
      </c>
      <c r="G34" s="4">
        <f>((B34*60)*100)+(100*D34)+F34</f>
        <v>6100</v>
      </c>
      <c r="H34" s="4">
        <f aca="true" t="shared" si="2" ref="H34:H44">(60*B34)+(D34)+(F34/100)</f>
        <v>61</v>
      </c>
      <c r="I34" s="1" t="s">
        <v>6</v>
      </c>
      <c r="J34" s="43">
        <f>INT(1.34285*(91.7-G34/100)^1.81)</f>
        <v>660</v>
      </c>
      <c r="N34"/>
    </row>
    <row r="35" spans="1:14" ht="12.75">
      <c r="A35" s="42">
        <v>800</v>
      </c>
      <c r="B35" s="3">
        <v>2</v>
      </c>
      <c r="C35" s="15" t="s">
        <v>4</v>
      </c>
      <c r="D35" s="3">
        <v>45</v>
      </c>
      <c r="E35" s="15" t="s">
        <v>5</v>
      </c>
      <c r="F35" s="3">
        <v>2</v>
      </c>
      <c r="G35" s="4">
        <f aca="true" t="shared" si="3" ref="G35:G40">((B35*60)*100)+(100*D35)+F35</f>
        <v>16502</v>
      </c>
      <c r="H35" s="4">
        <f t="shared" si="2"/>
        <v>165.02</v>
      </c>
      <c r="I35" s="1" t="s">
        <v>6</v>
      </c>
      <c r="J35" s="43">
        <f>INT(0.11193*(254-H35)^1.88)</f>
        <v>517</v>
      </c>
      <c r="N35"/>
    </row>
    <row r="36" spans="1:14" ht="12.75">
      <c r="A36" s="42">
        <v>1000</v>
      </c>
      <c r="B36" s="3">
        <v>3</v>
      </c>
      <c r="C36" s="15" t="s">
        <v>4</v>
      </c>
      <c r="D36" s="3">
        <v>20</v>
      </c>
      <c r="E36" s="15" t="s">
        <v>5</v>
      </c>
      <c r="F36" s="3">
        <v>3</v>
      </c>
      <c r="G36" s="4">
        <f t="shared" si="3"/>
        <v>20003</v>
      </c>
      <c r="H36" s="4">
        <f t="shared" si="2"/>
        <v>200.03</v>
      </c>
      <c r="I36" s="1" t="s">
        <v>6</v>
      </c>
      <c r="J36" s="43">
        <f>INT(0.07068*(337-H36)^1.88)</f>
        <v>734</v>
      </c>
      <c r="N36"/>
    </row>
    <row r="37" spans="1:14" ht="12.75">
      <c r="A37" s="42">
        <v>1500</v>
      </c>
      <c r="B37" s="3">
        <v>4</v>
      </c>
      <c r="C37" s="15" t="s">
        <v>4</v>
      </c>
      <c r="D37" s="3">
        <v>5</v>
      </c>
      <c r="E37" s="15" t="s">
        <v>5</v>
      </c>
      <c r="F37" s="3">
        <v>4</v>
      </c>
      <c r="G37" s="4">
        <f t="shared" si="3"/>
        <v>24504</v>
      </c>
      <c r="H37" s="4">
        <f t="shared" si="2"/>
        <v>245.04</v>
      </c>
      <c r="I37" s="1" t="s">
        <v>6</v>
      </c>
      <c r="J37" s="43">
        <f>INT(0.02883*(535-(H37))^1.88)</f>
        <v>1227</v>
      </c>
      <c r="N37"/>
    </row>
    <row r="38" spans="1:14" ht="12.75">
      <c r="A38" s="42">
        <v>3000</v>
      </c>
      <c r="B38" s="3">
        <v>9</v>
      </c>
      <c r="C38" s="15" t="s">
        <v>4</v>
      </c>
      <c r="D38" s="3">
        <v>7</v>
      </c>
      <c r="E38" s="15" t="s">
        <v>5</v>
      </c>
      <c r="F38" s="3">
        <v>6</v>
      </c>
      <c r="G38" s="4">
        <f t="shared" si="3"/>
        <v>54706</v>
      </c>
      <c r="H38" s="4">
        <f t="shared" si="2"/>
        <v>547.06</v>
      </c>
      <c r="I38" s="1" t="s">
        <v>6</v>
      </c>
      <c r="J38" s="43">
        <f>INT(0.00683*(1150-H38)^1.88)</f>
        <v>1151</v>
      </c>
      <c r="N38"/>
    </row>
    <row r="39" spans="1:14" ht="12.75">
      <c r="A39" s="42">
        <v>5000</v>
      </c>
      <c r="B39" s="3">
        <v>19</v>
      </c>
      <c r="C39" s="15" t="s">
        <v>4</v>
      </c>
      <c r="D39" s="3">
        <v>8</v>
      </c>
      <c r="E39" s="15" t="s">
        <v>5</v>
      </c>
      <c r="F39" s="3">
        <v>7</v>
      </c>
      <c r="G39" s="4">
        <f t="shared" si="3"/>
        <v>114807</v>
      </c>
      <c r="H39" s="4">
        <f t="shared" si="2"/>
        <v>1148.07</v>
      </c>
      <c r="I39" s="1" t="s">
        <v>6</v>
      </c>
      <c r="J39" s="43">
        <f>INT(0.00272*(1920-H39)^1.88)</f>
        <v>729</v>
      </c>
      <c r="N39"/>
    </row>
    <row r="40" spans="1:14" ht="12.75">
      <c r="A40" s="42">
        <v>10000</v>
      </c>
      <c r="B40" s="3">
        <v>37</v>
      </c>
      <c r="C40" s="15" t="s">
        <v>4</v>
      </c>
      <c r="D40" s="3">
        <v>9</v>
      </c>
      <c r="E40" s="15" t="s">
        <v>5</v>
      </c>
      <c r="F40" s="3">
        <v>88</v>
      </c>
      <c r="G40" s="4">
        <f t="shared" si="3"/>
        <v>222988</v>
      </c>
      <c r="H40" s="4">
        <f t="shared" si="2"/>
        <v>2229.88</v>
      </c>
      <c r="I40" s="1" t="s">
        <v>6</v>
      </c>
      <c r="J40" s="43">
        <f>INT(0.000396*(4920-H40)^1.88)</f>
        <v>1110</v>
      </c>
      <c r="N40"/>
    </row>
    <row r="41" spans="1:14" ht="12.75">
      <c r="A41" s="47" t="s">
        <v>8</v>
      </c>
      <c r="B41" s="36">
        <v>10.4</v>
      </c>
      <c r="C41" s="37"/>
      <c r="D41" s="37"/>
      <c r="E41" s="37"/>
      <c r="F41" s="38"/>
      <c r="G41" s="4"/>
      <c r="H41" s="4"/>
      <c r="I41" s="6" t="s">
        <v>3</v>
      </c>
      <c r="J41" s="43">
        <f>INT(20.0479*(17-B41)^1.835)</f>
        <v>639</v>
      </c>
      <c r="N41"/>
    </row>
    <row r="42" spans="1:14" ht="12.75">
      <c r="A42" s="47" t="s">
        <v>9</v>
      </c>
      <c r="B42" s="36">
        <v>16.55</v>
      </c>
      <c r="C42" s="37"/>
      <c r="D42" s="37"/>
      <c r="E42" s="37"/>
      <c r="F42" s="38"/>
      <c r="G42" s="4"/>
      <c r="H42" s="4"/>
      <c r="I42" s="11" t="s">
        <v>3</v>
      </c>
      <c r="J42" s="43">
        <f>INT(9.23076*(26.7-B42)^1.835)</f>
        <v>648</v>
      </c>
      <c r="N42"/>
    </row>
    <row r="43" spans="1:14" ht="12.75">
      <c r="A43" s="47" t="s">
        <v>27</v>
      </c>
      <c r="B43" s="36">
        <v>31</v>
      </c>
      <c r="C43" s="37"/>
      <c r="D43" s="37"/>
      <c r="E43" s="37"/>
      <c r="F43" s="38"/>
      <c r="G43" s="4"/>
      <c r="H43" s="4"/>
      <c r="I43" s="11" t="s">
        <v>3</v>
      </c>
      <c r="J43" s="43">
        <f>INT(2.975*(52-B43)^1.81)</f>
        <v>735</v>
      </c>
      <c r="N43"/>
    </row>
    <row r="44" spans="1:14" ht="12.75">
      <c r="A44" s="47" t="s">
        <v>11</v>
      </c>
      <c r="B44" s="3">
        <v>1</v>
      </c>
      <c r="C44" s="17" t="s">
        <v>4</v>
      </c>
      <c r="D44" s="3">
        <v>4</v>
      </c>
      <c r="E44" s="17" t="s">
        <v>5</v>
      </c>
      <c r="F44" s="3">
        <v>0</v>
      </c>
      <c r="G44" s="4">
        <f>((B44*60)*100)+(100*D44)+F44</f>
        <v>6400</v>
      </c>
      <c r="H44" s="4">
        <f t="shared" si="2"/>
        <v>64</v>
      </c>
      <c r="I44" s="5" t="s">
        <v>6</v>
      </c>
      <c r="J44" s="43">
        <f>INT(0.99674*(103-H44)^1.81)</f>
        <v>755</v>
      </c>
      <c r="N44"/>
    </row>
    <row r="45" spans="1:14" ht="12.75">
      <c r="A45" s="47" t="s">
        <v>7</v>
      </c>
      <c r="B45" s="3">
        <v>10</v>
      </c>
      <c r="C45" s="17" t="s">
        <v>4</v>
      </c>
      <c r="D45" s="3">
        <v>23</v>
      </c>
      <c r="E45" s="17" t="s">
        <v>5</v>
      </c>
      <c r="F45" s="3">
        <v>6</v>
      </c>
      <c r="G45" s="4">
        <f>((B45*60)*100)+(100*D45)+F45</f>
        <v>62306</v>
      </c>
      <c r="H45" s="4">
        <f>(60*B45)+(D45)+(F45/100)</f>
        <v>623.06</v>
      </c>
      <c r="I45" s="5" t="s">
        <v>6</v>
      </c>
      <c r="J45" s="48">
        <f>INT(0.00408*(1320-H45)^1.9)</f>
        <v>1029</v>
      </c>
      <c r="N45"/>
    </row>
    <row r="46" spans="1:14" ht="12.75">
      <c r="A46" s="47" t="s">
        <v>12</v>
      </c>
      <c r="B46" s="36">
        <v>1.6</v>
      </c>
      <c r="C46" s="37"/>
      <c r="D46" s="37"/>
      <c r="E46" s="37"/>
      <c r="F46" s="38"/>
      <c r="G46" s="46"/>
      <c r="H46" s="4"/>
      <c r="I46" s="12" t="s">
        <v>13</v>
      </c>
      <c r="J46" s="43">
        <f>INT(1.84523*(B46*100-75)^1.348)</f>
        <v>736</v>
      </c>
      <c r="N46"/>
    </row>
    <row r="47" spans="1:14" ht="12.75">
      <c r="A47" s="47" t="s">
        <v>14</v>
      </c>
      <c r="B47" s="36">
        <v>4.75</v>
      </c>
      <c r="C47" s="37"/>
      <c r="D47" s="37"/>
      <c r="E47" s="37"/>
      <c r="F47" s="38"/>
      <c r="G47" s="46"/>
      <c r="H47" s="4"/>
      <c r="I47" s="6" t="s">
        <v>13</v>
      </c>
      <c r="J47" s="43">
        <f>INT(0.188807*(B47*100-210)^1.41)</f>
        <v>492</v>
      </c>
      <c r="N47"/>
    </row>
    <row r="48" spans="1:14" ht="12.75">
      <c r="A48" s="47" t="s">
        <v>20</v>
      </c>
      <c r="B48" s="36">
        <v>12.3</v>
      </c>
      <c r="C48" s="37"/>
      <c r="D48" s="37"/>
      <c r="E48" s="37"/>
      <c r="F48" s="38"/>
      <c r="G48" s="46"/>
      <c r="H48" s="4"/>
      <c r="I48" s="6" t="s">
        <v>13</v>
      </c>
      <c r="J48" s="43">
        <f>INT(0.08559*(B48*100-600)^1.41)</f>
        <v>757</v>
      </c>
      <c r="N48"/>
    </row>
    <row r="49" spans="1:14" ht="12.75">
      <c r="A49" s="47" t="s">
        <v>15</v>
      </c>
      <c r="B49" s="36">
        <v>3.9</v>
      </c>
      <c r="C49" s="37"/>
      <c r="D49" s="37"/>
      <c r="E49" s="37"/>
      <c r="F49" s="38"/>
      <c r="G49" s="46"/>
      <c r="H49" s="4"/>
      <c r="I49" s="6" t="s">
        <v>13</v>
      </c>
      <c r="J49" s="43">
        <f>INT(0.44125*(B49*100-100)^1.35)</f>
        <v>930</v>
      </c>
      <c r="N49"/>
    </row>
    <row r="50" spans="1:14" ht="12.75">
      <c r="A50" s="47" t="s">
        <v>16</v>
      </c>
      <c r="B50" s="36">
        <v>9.55</v>
      </c>
      <c r="C50" s="37"/>
      <c r="D50" s="37"/>
      <c r="E50" s="37"/>
      <c r="F50" s="38"/>
      <c r="G50" s="46"/>
      <c r="H50" s="4"/>
      <c r="I50" s="6" t="s">
        <v>13</v>
      </c>
      <c r="J50" s="43">
        <f>INT(56.0211*(B50-1.5)^1.05)</f>
        <v>500</v>
      </c>
      <c r="N50"/>
    </row>
    <row r="51" spans="1:14" ht="12.75">
      <c r="A51" s="47" t="s">
        <v>18</v>
      </c>
      <c r="B51" s="36">
        <v>44</v>
      </c>
      <c r="C51" s="37"/>
      <c r="D51" s="37"/>
      <c r="E51" s="37"/>
      <c r="F51" s="38"/>
      <c r="G51" s="46"/>
      <c r="H51" s="4"/>
      <c r="I51" s="6" t="s">
        <v>13</v>
      </c>
      <c r="J51" s="43">
        <f>INT(12.3311*(B51-3)^1.1)</f>
        <v>732</v>
      </c>
      <c r="N51"/>
    </row>
    <row r="52" spans="1:14" ht="12.75">
      <c r="A52" s="47" t="s">
        <v>17</v>
      </c>
      <c r="B52" s="36">
        <v>55</v>
      </c>
      <c r="C52" s="37"/>
      <c r="D52" s="37"/>
      <c r="E52" s="37"/>
      <c r="F52" s="38"/>
      <c r="G52" s="46"/>
      <c r="H52" s="4"/>
      <c r="I52" s="6" t="s">
        <v>13</v>
      </c>
      <c r="J52" s="43">
        <f>INT(15.9803*(B52-3.8)^1.04)</f>
        <v>957</v>
      </c>
      <c r="N52"/>
    </row>
    <row r="53" spans="1:14" ht="12.75">
      <c r="A53" s="47" t="s">
        <v>19</v>
      </c>
      <c r="B53" s="36">
        <v>44</v>
      </c>
      <c r="C53" s="37"/>
      <c r="D53" s="37"/>
      <c r="E53" s="37"/>
      <c r="F53" s="38"/>
      <c r="G53" s="46"/>
      <c r="H53" s="4"/>
      <c r="I53" s="6" t="s">
        <v>13</v>
      </c>
      <c r="J53" s="43">
        <f>INT(17.5458*(B53-6)^1.05)</f>
        <v>799</v>
      </c>
      <c r="N53"/>
    </row>
  </sheetData>
  <mergeCells count="32">
    <mergeCell ref="B6:F6"/>
    <mergeCell ref="B7:F7"/>
    <mergeCell ref="B15:F15"/>
    <mergeCell ref="B4:F4"/>
    <mergeCell ref="B5:F5"/>
    <mergeCell ref="B16:F16"/>
    <mergeCell ref="B17:F17"/>
    <mergeCell ref="B20:F20"/>
    <mergeCell ref="B21:F21"/>
    <mergeCell ref="B23:F23"/>
    <mergeCell ref="B24:F24"/>
    <mergeCell ref="B22:F22"/>
    <mergeCell ref="B25:F25"/>
    <mergeCell ref="B26:F26"/>
    <mergeCell ref="B27:F27"/>
    <mergeCell ref="B30:F30"/>
    <mergeCell ref="B31:F31"/>
    <mergeCell ref="B48:F48"/>
    <mergeCell ref="B49:F49"/>
    <mergeCell ref="B50:F50"/>
    <mergeCell ref="B51:F51"/>
    <mergeCell ref="B52:F52"/>
    <mergeCell ref="B32:F32"/>
    <mergeCell ref="B46:F46"/>
    <mergeCell ref="B47:F47"/>
    <mergeCell ref="B33:F33"/>
    <mergeCell ref="B43:F43"/>
    <mergeCell ref="J29:J30"/>
    <mergeCell ref="J2:J3"/>
    <mergeCell ref="B53:F53"/>
    <mergeCell ref="B41:F41"/>
    <mergeCell ref="B42:F4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BLV-Nachwuchs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Isi's toller Vergleichsrechner</dc:title>
  <dc:subject>Vergleichsrechner verschiedener LA-Punktetabellen</dc:subject>
  <dc:creator>Isidor Fuchser</dc:creator>
  <cp:keywords/>
  <dc:description/>
  <cp:lastModifiedBy>Isidor Fuchser</cp:lastModifiedBy>
  <dcterms:created xsi:type="dcterms:W3CDTF">2003-06-12T06:23:16Z</dcterms:created>
  <dcterms:modified xsi:type="dcterms:W3CDTF">2003-10-29T09:31:40Z</dcterms:modified>
  <cp:category/>
  <cp:version/>
  <cp:contentType/>
  <cp:contentStatus/>
</cp:coreProperties>
</file>