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9165" windowHeight="910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<sst xmlns="http://schemas.openxmlformats.org/spreadsheetml/2006/main" count="191" uniqueCount="40">
  <si>
    <t>Disziplin</t>
  </si>
  <si>
    <t>Leistung</t>
  </si>
  <si>
    <t>Format</t>
  </si>
  <si>
    <t>sec</t>
  </si>
  <si>
    <t>:</t>
  </si>
  <si>
    <t>.</t>
  </si>
  <si>
    <t>1500st</t>
  </si>
  <si>
    <t>mm:ss.hh</t>
  </si>
  <si>
    <t>2000st</t>
  </si>
  <si>
    <t>3000st</t>
  </si>
  <si>
    <t>50h</t>
  </si>
  <si>
    <t>60h</t>
  </si>
  <si>
    <t>80h</t>
  </si>
  <si>
    <t>100h</t>
  </si>
  <si>
    <t>110h</t>
  </si>
  <si>
    <t>400h</t>
  </si>
  <si>
    <t>4*100</t>
  </si>
  <si>
    <t>4*400</t>
  </si>
  <si>
    <t>Hoch</t>
  </si>
  <si>
    <t>m</t>
  </si>
  <si>
    <t>Weit</t>
  </si>
  <si>
    <t>Stab</t>
  </si>
  <si>
    <t>Kugel</t>
  </si>
  <si>
    <t>Speer</t>
  </si>
  <si>
    <t>Diskus</t>
  </si>
  <si>
    <t>Hammer</t>
  </si>
  <si>
    <t>Drei</t>
  </si>
  <si>
    <t>Männer</t>
  </si>
  <si>
    <t>Frauen</t>
  </si>
  <si>
    <t>in ss</t>
  </si>
  <si>
    <t>in hh</t>
  </si>
  <si>
    <t>4*200</t>
  </si>
  <si>
    <t>Outdoor</t>
  </si>
  <si>
    <t>Indoor</t>
  </si>
  <si>
    <t>1 Meile</t>
  </si>
  <si>
    <t>320m Hü</t>
  </si>
  <si>
    <t>Hungarian Tables</t>
  </si>
  <si>
    <t>55h</t>
  </si>
  <si>
    <t>320h</t>
  </si>
  <si>
    <t>BLV Punkterechner Hungarian Tables</t>
  </si>
</sst>
</file>

<file path=xl/styles.xml><?xml version="1.0" encoding="utf-8"?>
<styleSheet xmlns="http://schemas.openxmlformats.org/spreadsheetml/2006/main">
  <numFmts count="13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00"/>
    <numFmt numFmtId="165" formatCode="#.0"/>
    <numFmt numFmtId="166" formatCode="000"/>
    <numFmt numFmtId="167" formatCode="0.0"/>
    <numFmt numFmtId="168" formatCode="0.000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b/>
      <i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1" xfId="0" applyFont="1" applyFill="1" applyBorder="1" applyAlignment="1">
      <alignment/>
    </xf>
    <xf numFmtId="0" fontId="0" fillId="0" borderId="2" xfId="0" applyFont="1" applyBorder="1" applyAlignment="1">
      <alignment horizontal="left" vertical="center"/>
    </xf>
    <xf numFmtId="164" fontId="0" fillId="2" borderId="2" xfId="0" applyNumberFormat="1" applyFont="1" applyFill="1" applyBorder="1" applyAlignment="1">
      <alignment horizontal="left" vertical="center"/>
    </xf>
    <xf numFmtId="0" fontId="0" fillId="3" borderId="1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2" fontId="0" fillId="0" borderId="1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2" fontId="0" fillId="0" borderId="3" xfId="0" applyNumberFormat="1" applyFont="1" applyFill="1" applyBorder="1" applyAlignment="1">
      <alignment/>
    </xf>
    <xf numFmtId="2" fontId="0" fillId="0" borderId="4" xfId="0" applyNumberFormat="1" applyFont="1" applyFill="1" applyBorder="1" applyAlignment="1">
      <alignment/>
    </xf>
    <xf numFmtId="2" fontId="0" fillId="0" borderId="5" xfId="0" applyNumberFormat="1" applyFont="1" applyFill="1" applyBorder="1" applyAlignment="1">
      <alignment/>
    </xf>
    <xf numFmtId="0" fontId="0" fillId="4" borderId="1" xfId="0" applyFill="1" applyBorder="1" applyAlignment="1">
      <alignment/>
    </xf>
    <xf numFmtId="0" fontId="0" fillId="0" borderId="0" xfId="0" applyAlignment="1">
      <alignment horizontal="right"/>
    </xf>
    <xf numFmtId="0" fontId="0" fillId="4" borderId="2" xfId="0" applyFill="1" applyBorder="1" applyAlignment="1">
      <alignment/>
    </xf>
    <xf numFmtId="0" fontId="0" fillId="0" borderId="0" xfId="0" applyAlignment="1">
      <alignment horizontal="center"/>
    </xf>
    <xf numFmtId="0" fontId="0" fillId="2" borderId="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0" fillId="2" borderId="1" xfId="0" applyNumberFormat="1" applyFont="1" applyFill="1" applyBorder="1" applyAlignment="1">
      <alignment horizontal="center" vertical="center" wrapText="1"/>
    </xf>
    <xf numFmtId="0" fontId="0" fillId="0" borderId="6" xfId="0" applyFont="1" applyBorder="1" applyAlignment="1">
      <alignment horizontal="left" vertical="center"/>
    </xf>
    <xf numFmtId="0" fontId="0" fillId="0" borderId="4" xfId="0" applyFont="1" applyFill="1" applyBorder="1" applyAlignment="1">
      <alignment/>
    </xf>
    <xf numFmtId="0" fontId="0" fillId="4" borderId="4" xfId="0" applyFill="1" applyBorder="1" applyAlignment="1">
      <alignment/>
    </xf>
    <xf numFmtId="0" fontId="4" fillId="5" borderId="7" xfId="0" applyFont="1" applyFill="1" applyBorder="1" applyAlignment="1">
      <alignment/>
    </xf>
    <xf numFmtId="0" fontId="0" fillId="5" borderId="8" xfId="0" applyFill="1" applyBorder="1" applyAlignment="1">
      <alignment/>
    </xf>
    <xf numFmtId="0" fontId="0" fillId="5" borderId="8" xfId="0" applyFill="1" applyBorder="1" applyAlignment="1">
      <alignment horizontal="center"/>
    </xf>
    <xf numFmtId="0" fontId="2" fillId="0" borderId="9" xfId="0" applyFont="1" applyBorder="1" applyAlignment="1">
      <alignment/>
    </xf>
    <xf numFmtId="0" fontId="2" fillId="2" borderId="10" xfId="0" applyFont="1" applyFill="1" applyBorder="1" applyAlignment="1">
      <alignment/>
    </xf>
    <xf numFmtId="0" fontId="2" fillId="2" borderId="11" xfId="0" applyFont="1" applyFill="1" applyBorder="1" applyAlignment="1">
      <alignment horizontal="center"/>
    </xf>
    <xf numFmtId="0" fontId="2" fillId="2" borderId="11" xfId="0" applyFont="1" applyFill="1" applyBorder="1" applyAlignment="1">
      <alignment/>
    </xf>
    <xf numFmtId="0" fontId="2" fillId="2" borderId="12" xfId="0" applyFont="1" applyFill="1" applyBorder="1" applyAlignment="1">
      <alignment/>
    </xf>
    <xf numFmtId="0" fontId="0" fillId="2" borderId="11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0" fillId="4" borderId="14" xfId="0" applyFill="1" applyBorder="1" applyAlignment="1">
      <alignment/>
    </xf>
    <xf numFmtId="0" fontId="4" fillId="5" borderId="7" xfId="0" applyFont="1" applyFill="1" applyBorder="1" applyAlignment="1">
      <alignment horizontal="left" vertical="center"/>
    </xf>
    <xf numFmtId="0" fontId="2" fillId="5" borderId="8" xfId="0" applyFont="1" applyFill="1" applyBorder="1" applyAlignment="1">
      <alignment horizontal="left" vertical="center"/>
    </xf>
    <xf numFmtId="0" fontId="2" fillId="5" borderId="8" xfId="0" applyFont="1" applyFill="1" applyBorder="1" applyAlignment="1">
      <alignment horizontal="center" vertical="center"/>
    </xf>
    <xf numFmtId="0" fontId="0" fillId="5" borderId="8" xfId="0" applyFont="1" applyFill="1" applyBorder="1" applyAlignment="1">
      <alignment/>
    </xf>
    <xf numFmtId="0" fontId="2" fillId="5" borderId="15" xfId="0" applyFont="1" applyFill="1" applyBorder="1" applyAlignment="1">
      <alignment horizontal="left" vertical="center"/>
    </xf>
    <xf numFmtId="0" fontId="0" fillId="0" borderId="16" xfId="0" applyFont="1" applyFill="1" applyBorder="1" applyAlignment="1">
      <alignment/>
    </xf>
    <xf numFmtId="0" fontId="0" fillId="3" borderId="14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2" fontId="0" fillId="2" borderId="2" xfId="0" applyNumberFormat="1" applyFont="1" applyFill="1" applyBorder="1" applyAlignment="1">
      <alignment horizontal="right"/>
    </xf>
    <xf numFmtId="2" fontId="0" fillId="2" borderId="18" xfId="0" applyNumberFormat="1" applyFont="1" applyFill="1" applyBorder="1" applyAlignment="1">
      <alignment horizontal="right"/>
    </xf>
    <xf numFmtId="2" fontId="0" fillId="2" borderId="19" xfId="0" applyNumberFormat="1" applyFont="1" applyFill="1" applyBorder="1" applyAlignment="1">
      <alignment horizontal="right"/>
    </xf>
    <xf numFmtId="0" fontId="2" fillId="4" borderId="20" xfId="0" applyFont="1" applyFill="1" applyBorder="1" applyAlignment="1">
      <alignment horizontal="center"/>
    </xf>
    <xf numFmtId="164" fontId="0" fillId="2" borderId="14" xfId="0" applyNumberFormat="1" applyFont="1" applyFill="1" applyBorder="1" applyAlignment="1">
      <alignment horizontal="center" vertical="center"/>
    </xf>
    <xf numFmtId="2" fontId="0" fillId="2" borderId="6" xfId="0" applyNumberFormat="1" applyFont="1" applyFill="1" applyBorder="1" applyAlignment="1">
      <alignment horizontal="right"/>
    </xf>
    <xf numFmtId="2" fontId="0" fillId="2" borderId="21" xfId="0" applyNumberFormat="1" applyFont="1" applyFill="1" applyBorder="1" applyAlignment="1">
      <alignment horizontal="right"/>
    </xf>
    <xf numFmtId="2" fontId="0" fillId="2" borderId="22" xfId="0" applyNumberFormat="1" applyFont="1" applyFill="1" applyBorder="1" applyAlignment="1">
      <alignment horizontal="right"/>
    </xf>
    <xf numFmtId="0" fontId="2" fillId="4" borderId="23" xfId="0" applyFont="1" applyFill="1" applyBorder="1" applyAlignment="1">
      <alignment horizontal="center"/>
    </xf>
    <xf numFmtId="0" fontId="0" fillId="4" borderId="24" xfId="0" applyFill="1" applyBorder="1" applyAlignment="1">
      <alignment/>
    </xf>
    <xf numFmtId="0" fontId="0" fillId="0" borderId="25" xfId="0" applyFont="1" applyBorder="1" applyAlignment="1">
      <alignment horizontal="left" vertical="center"/>
    </xf>
    <xf numFmtId="0" fontId="0" fillId="4" borderId="26" xfId="0" applyFill="1" applyBorder="1" applyAlignment="1">
      <alignment/>
    </xf>
    <xf numFmtId="0" fontId="0" fillId="0" borderId="27" xfId="0" applyFont="1" applyBorder="1" applyAlignment="1">
      <alignment horizontal="left" vertical="center"/>
    </xf>
    <xf numFmtId="0" fontId="0" fillId="4" borderId="28" xfId="0" applyFill="1" applyBorder="1" applyAlignment="1">
      <alignment/>
    </xf>
    <xf numFmtId="0" fontId="0" fillId="0" borderId="16" xfId="0" applyFont="1" applyBorder="1" applyAlignment="1">
      <alignment horizontal="left" vertical="center"/>
    </xf>
    <xf numFmtId="2" fontId="0" fillId="0" borderId="14" xfId="0" applyNumberFormat="1" applyFont="1" applyFill="1" applyBorder="1" applyAlignment="1">
      <alignment/>
    </xf>
    <xf numFmtId="0" fontId="0" fillId="0" borderId="25" xfId="0" applyFont="1" applyBorder="1" applyAlignment="1">
      <alignment horizontal="left" vertical="center" wrapText="1"/>
    </xf>
    <xf numFmtId="0" fontId="0" fillId="0" borderId="0" xfId="0" applyBorder="1" applyAlignment="1">
      <alignment/>
    </xf>
    <xf numFmtId="0" fontId="0" fillId="0" borderId="27" xfId="0" applyFont="1" applyBorder="1" applyAlignment="1">
      <alignment horizontal="left" vertical="center" wrapText="1"/>
    </xf>
    <xf numFmtId="0" fontId="0" fillId="4" borderId="0" xfId="0" applyFill="1" applyBorder="1" applyAlignment="1">
      <alignment/>
    </xf>
    <xf numFmtId="0" fontId="3" fillId="0" borderId="0" xfId="0" applyFont="1" applyAlignment="1">
      <alignment vertical="top"/>
    </xf>
    <xf numFmtId="0" fontId="0" fillId="0" borderId="16" xfId="0" applyFont="1" applyBorder="1" applyAlignment="1">
      <alignment horizontal="left" vertical="center" wrapText="1"/>
    </xf>
    <xf numFmtId="2" fontId="0" fillId="2" borderId="17" xfId="0" applyNumberFormat="1" applyFont="1" applyFill="1" applyBorder="1" applyAlignment="1">
      <alignment horizontal="right"/>
    </xf>
    <xf numFmtId="2" fontId="0" fillId="2" borderId="29" xfId="0" applyNumberFormat="1" applyFont="1" applyFill="1" applyBorder="1" applyAlignment="1">
      <alignment horizontal="right"/>
    </xf>
    <xf numFmtId="2" fontId="0" fillId="2" borderId="30" xfId="0" applyNumberFormat="1" applyFont="1" applyFill="1" applyBorder="1" applyAlignment="1">
      <alignment horizontal="right"/>
    </xf>
    <xf numFmtId="0" fontId="0" fillId="0" borderId="11" xfId="0" applyBorder="1" applyAlignment="1">
      <alignment/>
    </xf>
    <xf numFmtId="0" fontId="0" fillId="0" borderId="14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6"/>
  <sheetViews>
    <sheetView tabSelected="1" zoomScale="70" zoomScaleNormal="70" workbookViewId="0" topLeftCell="A1">
      <selection activeCell="N9" sqref="N9"/>
    </sheetView>
  </sheetViews>
  <sheetFormatPr defaultColWidth="11.421875" defaultRowHeight="12.75"/>
  <cols>
    <col min="1" max="1" width="17.00390625" style="0" customWidth="1"/>
    <col min="2" max="2" width="3.7109375" style="0" customWidth="1"/>
    <col min="3" max="3" width="1.1484375" style="17" customWidth="1"/>
    <col min="4" max="4" width="3.140625" style="0" customWidth="1"/>
    <col min="5" max="5" width="0.9921875" style="17" customWidth="1"/>
    <col min="6" max="6" width="3.28125" style="0" customWidth="1"/>
    <col min="7" max="7" width="6.140625" style="0" hidden="1" customWidth="1"/>
    <col min="8" max="8" width="8.8515625" style="0" hidden="1" customWidth="1"/>
    <col min="9" max="9" width="9.28125" style="0" bestFit="1" customWidth="1"/>
    <col min="10" max="11" width="11.7109375" style="0" customWidth="1"/>
    <col min="12" max="13" width="8.7109375" style="0" customWidth="1"/>
    <col min="14" max="14" width="8.7109375" style="15" customWidth="1"/>
    <col min="15" max="15" width="8.7109375" style="0" customWidth="1"/>
  </cols>
  <sheetData>
    <row r="1" spans="1:15" ht="30" customHeight="1" thickBot="1">
      <c r="A1" s="63" t="s">
        <v>39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4" ht="12.75">
      <c r="A2" s="24" t="s">
        <v>27</v>
      </c>
      <c r="B2" s="25"/>
      <c r="C2" s="26"/>
      <c r="D2" s="25"/>
      <c r="E2" s="26"/>
      <c r="F2" s="25"/>
      <c r="G2" s="25"/>
      <c r="H2" s="25"/>
      <c r="I2" s="25"/>
      <c r="J2" s="46" t="s">
        <v>36</v>
      </c>
      <c r="K2" s="51"/>
      <c r="N2"/>
    </row>
    <row r="3" spans="1:14" ht="13.5" thickBot="1">
      <c r="A3" s="27" t="s">
        <v>0</v>
      </c>
      <c r="B3" s="28" t="s">
        <v>1</v>
      </c>
      <c r="C3" s="29"/>
      <c r="D3" s="30"/>
      <c r="E3" s="29"/>
      <c r="F3" s="31"/>
      <c r="G3" s="32" t="s">
        <v>30</v>
      </c>
      <c r="H3" s="32" t="s">
        <v>29</v>
      </c>
      <c r="I3" s="33" t="s">
        <v>2</v>
      </c>
      <c r="J3" s="34" t="s">
        <v>32</v>
      </c>
      <c r="K3" s="52" t="s">
        <v>33</v>
      </c>
      <c r="N3"/>
    </row>
    <row r="4" spans="1:14" ht="12.75">
      <c r="A4" s="53">
        <v>50</v>
      </c>
      <c r="B4" s="48">
        <v>7.2</v>
      </c>
      <c r="C4" s="49"/>
      <c r="D4" s="49"/>
      <c r="E4" s="49"/>
      <c r="F4" s="50"/>
      <c r="G4" s="21"/>
      <c r="H4" s="21"/>
      <c r="I4" s="22" t="s">
        <v>3</v>
      </c>
      <c r="J4" s="23">
        <f>INT(81.205*((9.5-B4)^2)+0)</f>
        <v>429</v>
      </c>
      <c r="K4" s="54"/>
      <c r="N4"/>
    </row>
    <row r="5" spans="1:14" ht="12.75">
      <c r="A5" s="55">
        <v>55</v>
      </c>
      <c r="B5" s="43">
        <v>8.5</v>
      </c>
      <c r="C5" s="44"/>
      <c r="D5" s="44"/>
      <c r="E5" s="44"/>
      <c r="F5" s="45"/>
      <c r="G5" s="2"/>
      <c r="H5" s="2"/>
      <c r="I5" s="1" t="s">
        <v>3</v>
      </c>
      <c r="J5" s="14"/>
      <c r="K5" s="56">
        <f>INT(67.92*((10.3-B5)^2)+0)</f>
        <v>220</v>
      </c>
      <c r="N5"/>
    </row>
    <row r="6" spans="1:14" ht="12.75">
      <c r="A6" s="55">
        <v>60</v>
      </c>
      <c r="B6" s="43">
        <v>8.1</v>
      </c>
      <c r="C6" s="44"/>
      <c r="D6" s="44"/>
      <c r="E6" s="44"/>
      <c r="F6" s="45"/>
      <c r="G6" s="2"/>
      <c r="H6" s="2"/>
      <c r="I6" s="1" t="s">
        <v>3</v>
      </c>
      <c r="J6" s="14"/>
      <c r="K6" s="56">
        <f>INT(57.692*((10.3-B6)^2)+1.02617)</f>
        <v>280</v>
      </c>
      <c r="N6"/>
    </row>
    <row r="7" spans="1:14" ht="12.75">
      <c r="A7" s="55">
        <v>100</v>
      </c>
      <c r="B7" s="43">
        <v>10.06</v>
      </c>
      <c r="C7" s="44"/>
      <c r="D7" s="44"/>
      <c r="E7" s="44"/>
      <c r="F7" s="45"/>
      <c r="G7" s="2"/>
      <c r="H7" s="2"/>
      <c r="I7" s="1" t="s">
        <v>3</v>
      </c>
      <c r="J7" s="14">
        <f>INT(21.746*((17.50525-B7)^2)+1.02617)</f>
        <v>1206</v>
      </c>
      <c r="K7" s="56"/>
      <c r="N7"/>
    </row>
    <row r="8" spans="1:14" ht="12.75">
      <c r="A8" s="55">
        <v>200</v>
      </c>
      <c r="B8" s="43">
        <v>19.42</v>
      </c>
      <c r="C8" s="44"/>
      <c r="D8" s="44"/>
      <c r="E8" s="44"/>
      <c r="F8" s="45"/>
      <c r="G8" s="2"/>
      <c r="H8" s="2"/>
      <c r="I8" s="1" t="s">
        <v>3</v>
      </c>
      <c r="J8" s="14">
        <f>INT(4.79086*((36.0166-B8)^2)+1.06548)</f>
        <v>1320</v>
      </c>
      <c r="K8" s="56">
        <f>INT(5.077*((36-B8)^2)+0)</f>
        <v>1395</v>
      </c>
      <c r="N8"/>
    </row>
    <row r="9" spans="1:14" ht="12.75">
      <c r="A9" s="55">
        <v>300</v>
      </c>
      <c r="B9" s="43">
        <v>44.92</v>
      </c>
      <c r="C9" s="44"/>
      <c r="D9" s="44"/>
      <c r="E9" s="44"/>
      <c r="F9" s="45"/>
      <c r="G9" s="2"/>
      <c r="H9" s="2"/>
      <c r="I9" s="1" t="s">
        <v>3</v>
      </c>
      <c r="J9" s="14">
        <f>INT(1.65847*((59.0029-B9)^2)+0.98094)</f>
        <v>329</v>
      </c>
      <c r="K9" s="56">
        <f>INT(1.7249*((59-B9)^2)+0)</f>
        <v>341</v>
      </c>
      <c r="N9"/>
    </row>
    <row r="10" spans="1:14" ht="12.75">
      <c r="A10" s="55">
        <v>400</v>
      </c>
      <c r="B10" s="3">
        <v>1</v>
      </c>
      <c r="C10" s="18" t="s">
        <v>4</v>
      </c>
      <c r="D10" s="3">
        <v>1</v>
      </c>
      <c r="E10" s="18" t="s">
        <v>5</v>
      </c>
      <c r="F10" s="3">
        <v>0</v>
      </c>
      <c r="G10" s="4">
        <f aca="true" t="shared" si="0" ref="G10:G20">((B10*60)*100)+(100*D10)+F10</f>
        <v>6100</v>
      </c>
      <c r="H10" s="4">
        <f aca="true" t="shared" si="1" ref="H10:H20">(60*B10)+(D10)+(F10/100)</f>
        <v>61</v>
      </c>
      <c r="I10" s="1" t="s">
        <v>7</v>
      </c>
      <c r="J10" s="14">
        <f>INT(0.8582*((82-H10)^2)+0)</f>
        <v>378</v>
      </c>
      <c r="K10" s="56">
        <f>INT(0.9121*((82-H10)^2)+0)</f>
        <v>402</v>
      </c>
      <c r="N10"/>
    </row>
    <row r="11" spans="1:14" ht="12.75">
      <c r="A11" s="55">
        <v>500</v>
      </c>
      <c r="B11" s="3">
        <v>1</v>
      </c>
      <c r="C11" s="18"/>
      <c r="D11" s="3">
        <v>22</v>
      </c>
      <c r="E11" s="18"/>
      <c r="F11" s="3">
        <v>0</v>
      </c>
      <c r="G11" s="4">
        <f t="shared" si="0"/>
        <v>8200</v>
      </c>
      <c r="H11" s="4">
        <f t="shared" si="1"/>
        <v>82</v>
      </c>
      <c r="I11" s="1" t="s">
        <v>7</v>
      </c>
      <c r="J11" s="14"/>
      <c r="K11" s="56">
        <f>INT(0.53418*((108-H11)^2)+0)</f>
        <v>361</v>
      </c>
      <c r="N11"/>
    </row>
    <row r="12" spans="1:14" ht="12.75">
      <c r="A12" s="55">
        <v>600</v>
      </c>
      <c r="B12" s="3">
        <v>1</v>
      </c>
      <c r="C12" s="18" t="s">
        <v>4</v>
      </c>
      <c r="D12" s="3">
        <v>40</v>
      </c>
      <c r="E12" s="18" t="s">
        <v>5</v>
      </c>
      <c r="F12" s="3">
        <v>0</v>
      </c>
      <c r="G12" s="4">
        <f t="shared" si="0"/>
        <v>10000</v>
      </c>
      <c r="H12" s="4">
        <f t="shared" si="1"/>
        <v>100</v>
      </c>
      <c r="I12" s="1" t="s">
        <v>7</v>
      </c>
      <c r="J12" s="14">
        <f>INT(0.34042*((133-H12)^2)+0)</f>
        <v>370</v>
      </c>
      <c r="K12" s="56"/>
      <c r="N12"/>
    </row>
    <row r="13" spans="1:14" ht="12.75">
      <c r="A13" s="55">
        <v>800</v>
      </c>
      <c r="B13" s="3">
        <v>2</v>
      </c>
      <c r="C13" s="18" t="s">
        <v>4</v>
      </c>
      <c r="D13" s="3">
        <v>9</v>
      </c>
      <c r="E13" s="18" t="s">
        <v>5</v>
      </c>
      <c r="F13" s="3">
        <v>0</v>
      </c>
      <c r="G13" s="4">
        <f t="shared" si="0"/>
        <v>12900</v>
      </c>
      <c r="H13" s="4">
        <f t="shared" si="1"/>
        <v>129</v>
      </c>
      <c r="I13" s="1" t="s">
        <v>7</v>
      </c>
      <c r="J13" s="14">
        <f>INT(0.18778*((184-H13)^2)+0)</f>
        <v>568</v>
      </c>
      <c r="K13" s="56">
        <f>INT(0.199*((184-H13)^2)+0)</f>
        <v>601</v>
      </c>
      <c r="N13"/>
    </row>
    <row r="14" spans="1:14" ht="12.75">
      <c r="A14" s="55">
        <v>1000</v>
      </c>
      <c r="B14" s="3">
        <v>3</v>
      </c>
      <c r="C14" s="18" t="s">
        <v>4</v>
      </c>
      <c r="D14" s="3">
        <v>12</v>
      </c>
      <c r="E14" s="18" t="s">
        <v>5</v>
      </c>
      <c r="F14" s="3">
        <v>50</v>
      </c>
      <c r="G14" s="4">
        <f t="shared" si="0"/>
        <v>19250</v>
      </c>
      <c r="H14" s="4">
        <f t="shared" si="1"/>
        <v>192.5</v>
      </c>
      <c r="I14" s="1" t="s">
        <v>7</v>
      </c>
      <c r="J14" s="14">
        <f>INT(0.09962*((245-H14)^2)+0)</f>
        <v>274</v>
      </c>
      <c r="K14" s="56">
        <f>INT(0.1042*((245-H14)^2)+0)</f>
        <v>287</v>
      </c>
      <c r="N14"/>
    </row>
    <row r="15" spans="1:14" ht="12.75">
      <c r="A15" s="55">
        <v>1500</v>
      </c>
      <c r="B15" s="3">
        <v>5</v>
      </c>
      <c r="C15" s="18" t="s">
        <v>4</v>
      </c>
      <c r="D15" s="3">
        <v>1</v>
      </c>
      <c r="E15" s="18" t="s">
        <v>5</v>
      </c>
      <c r="F15" s="3">
        <v>50</v>
      </c>
      <c r="G15" s="4">
        <f t="shared" si="0"/>
        <v>30150</v>
      </c>
      <c r="H15" s="4">
        <f t="shared" si="1"/>
        <v>301.5</v>
      </c>
      <c r="I15" s="1" t="s">
        <v>7</v>
      </c>
      <c r="J15" s="14">
        <f>INT(0.04066*((385-H15)^2)+0)</f>
        <v>283</v>
      </c>
      <c r="K15" s="56">
        <f>INT(0.04272*((385-H15)^2)+0)</f>
        <v>297</v>
      </c>
      <c r="N15"/>
    </row>
    <row r="16" spans="1:14" ht="12.75">
      <c r="A16" s="55" t="s">
        <v>34</v>
      </c>
      <c r="B16" s="3">
        <v>5</v>
      </c>
      <c r="C16" s="18" t="s">
        <v>4</v>
      </c>
      <c r="D16" s="3">
        <v>26</v>
      </c>
      <c r="E16" s="18" t="s">
        <v>5</v>
      </c>
      <c r="F16" s="3">
        <v>40</v>
      </c>
      <c r="G16" s="4">
        <f t="shared" si="0"/>
        <v>32640</v>
      </c>
      <c r="H16" s="4">
        <f t="shared" si="1"/>
        <v>326.4</v>
      </c>
      <c r="I16" s="1" t="s">
        <v>7</v>
      </c>
      <c r="J16" s="14">
        <f>INT(0.03511*((415-H16)^2)+0)</f>
        <v>275</v>
      </c>
      <c r="K16" s="56">
        <f>INT(0.03622*((415-H16)^2)+0)</f>
        <v>284</v>
      </c>
      <c r="N16"/>
    </row>
    <row r="17" spans="1:14" ht="12.75">
      <c r="A17" s="55">
        <v>2000</v>
      </c>
      <c r="B17" s="3">
        <v>5</v>
      </c>
      <c r="C17" s="18" t="s">
        <v>4</v>
      </c>
      <c r="D17" s="3">
        <v>32</v>
      </c>
      <c r="E17" s="18" t="s">
        <v>5</v>
      </c>
      <c r="F17" s="3">
        <v>0</v>
      </c>
      <c r="G17" s="4">
        <f t="shared" si="0"/>
        <v>33200</v>
      </c>
      <c r="H17" s="4">
        <f t="shared" si="1"/>
        <v>332</v>
      </c>
      <c r="I17" s="1" t="s">
        <v>7</v>
      </c>
      <c r="J17" s="14">
        <f>INT(0.02199*((528-H17)^2)+0)</f>
        <v>844</v>
      </c>
      <c r="K17" s="56">
        <f>INT(0.0228*((528-H17)^2)+0)</f>
        <v>875</v>
      </c>
      <c r="N17"/>
    </row>
    <row r="18" spans="1:14" ht="12.75">
      <c r="A18" s="55">
        <v>3000</v>
      </c>
      <c r="B18" s="3">
        <v>9</v>
      </c>
      <c r="C18" s="18" t="s">
        <v>4</v>
      </c>
      <c r="D18" s="3">
        <v>55</v>
      </c>
      <c r="E18" s="18" t="s">
        <v>5</v>
      </c>
      <c r="F18" s="3">
        <v>0</v>
      </c>
      <c r="G18" s="4">
        <f t="shared" si="0"/>
        <v>59500</v>
      </c>
      <c r="H18" s="4">
        <f t="shared" si="1"/>
        <v>595</v>
      </c>
      <c r="I18" s="1" t="s">
        <v>7</v>
      </c>
      <c r="J18" s="14">
        <f>INT(0.008189*((840-H18)^2)+0)</f>
        <v>491</v>
      </c>
      <c r="K18" s="56">
        <f>INT(0.008493*((840-H18)^2)+0)</f>
        <v>509</v>
      </c>
      <c r="N18"/>
    </row>
    <row r="19" spans="1:14" ht="12.75">
      <c r="A19" s="55">
        <v>5000</v>
      </c>
      <c r="B19" s="3">
        <v>13</v>
      </c>
      <c r="C19" s="18"/>
      <c r="D19" s="3">
        <v>56</v>
      </c>
      <c r="E19" s="18"/>
      <c r="F19" s="3">
        <v>88</v>
      </c>
      <c r="G19" s="4">
        <f t="shared" si="0"/>
        <v>83688</v>
      </c>
      <c r="H19" s="4">
        <f t="shared" si="1"/>
        <v>836.88</v>
      </c>
      <c r="I19" s="1" t="s">
        <v>7</v>
      </c>
      <c r="J19" s="14">
        <f>INT(0.0026554*((1460-H19)^2)+0)</f>
        <v>1031</v>
      </c>
      <c r="K19" s="56">
        <f>INT(0.0028*((1460-H19)^2)+0)</f>
        <v>1087</v>
      </c>
      <c r="N19"/>
    </row>
    <row r="20" spans="1:14" ht="12.75">
      <c r="A20" s="55">
        <v>10000</v>
      </c>
      <c r="B20" s="3">
        <v>29</v>
      </c>
      <c r="C20" s="18" t="s">
        <v>4</v>
      </c>
      <c r="D20" s="3">
        <v>5</v>
      </c>
      <c r="E20" s="18" t="s">
        <v>5</v>
      </c>
      <c r="F20" s="3">
        <v>0</v>
      </c>
      <c r="G20" s="4">
        <f t="shared" si="0"/>
        <v>174500</v>
      </c>
      <c r="H20" s="4">
        <f t="shared" si="1"/>
        <v>1745</v>
      </c>
      <c r="I20" s="1" t="s">
        <v>7</v>
      </c>
      <c r="J20" s="14">
        <f>INT(0.000557*((3120-H20)^2)+0)</f>
        <v>1053</v>
      </c>
      <c r="K20" s="56"/>
      <c r="N20"/>
    </row>
    <row r="21" spans="1:14" ht="12.75">
      <c r="A21" s="55" t="s">
        <v>10</v>
      </c>
      <c r="B21" s="43">
        <v>8.16</v>
      </c>
      <c r="C21" s="44"/>
      <c r="D21" s="44"/>
      <c r="E21" s="44"/>
      <c r="F21" s="45"/>
      <c r="G21" s="4"/>
      <c r="H21" s="4"/>
      <c r="I21" s="1" t="s">
        <v>3</v>
      </c>
      <c r="J21" s="14"/>
      <c r="K21" s="56">
        <f>INT(25.822*((13.2-B21)^2)+0)</f>
        <v>655</v>
      </c>
      <c r="N21"/>
    </row>
    <row r="22" spans="1:14" ht="12.75">
      <c r="A22" s="55" t="s">
        <v>11</v>
      </c>
      <c r="B22" s="43">
        <v>9.59</v>
      </c>
      <c r="C22" s="44"/>
      <c r="D22" s="44"/>
      <c r="E22" s="44"/>
      <c r="F22" s="45"/>
      <c r="G22" s="4"/>
      <c r="H22" s="4"/>
      <c r="I22" s="1" t="s">
        <v>3</v>
      </c>
      <c r="J22" s="14"/>
      <c r="K22" s="56">
        <f>INT(18.014*((15.7-B22)^2)+0)</f>
        <v>672</v>
      </c>
      <c r="N22"/>
    </row>
    <row r="23" spans="1:14" ht="12.75">
      <c r="A23" s="55" t="s">
        <v>14</v>
      </c>
      <c r="B23" s="43">
        <v>14</v>
      </c>
      <c r="C23" s="44"/>
      <c r="D23" s="44"/>
      <c r="E23" s="44"/>
      <c r="F23" s="45"/>
      <c r="G23" s="4"/>
      <c r="H23" s="4"/>
      <c r="I23" s="1" t="s">
        <v>3</v>
      </c>
      <c r="J23" s="14">
        <f>INT(5.58*((28-B23)^2)+0)</f>
        <v>1093</v>
      </c>
      <c r="K23" s="56"/>
      <c r="N23"/>
    </row>
    <row r="24" spans="1:14" ht="12.75">
      <c r="A24" s="55" t="s">
        <v>35</v>
      </c>
      <c r="B24" s="3">
        <v>0</v>
      </c>
      <c r="C24" s="18" t="s">
        <v>4</v>
      </c>
      <c r="D24" s="3">
        <v>56</v>
      </c>
      <c r="E24" s="18" t="s">
        <v>5</v>
      </c>
      <c r="F24" s="3">
        <v>0</v>
      </c>
      <c r="G24" s="4">
        <f>((B24*60)*100)+(100*D24)+F24</f>
        <v>5600</v>
      </c>
      <c r="H24" s="4">
        <f>(60*B24)+(D24)+(F24/100)</f>
        <v>56</v>
      </c>
      <c r="I24" s="1" t="s">
        <v>7</v>
      </c>
      <c r="J24" s="14">
        <f>INT(0.795*((80-H24)^2)+0)</f>
        <v>457</v>
      </c>
      <c r="K24" s="56"/>
      <c r="N24"/>
    </row>
    <row r="25" spans="1:14" ht="12.75">
      <c r="A25" s="55" t="s">
        <v>15</v>
      </c>
      <c r="B25" s="3">
        <v>0</v>
      </c>
      <c r="C25" s="18" t="s">
        <v>4</v>
      </c>
      <c r="D25" s="3">
        <v>57</v>
      </c>
      <c r="E25" s="18" t="s">
        <v>5</v>
      </c>
      <c r="F25" s="3">
        <v>0</v>
      </c>
      <c r="G25" s="4">
        <f>((B25*60)*100)+(100*D25)+F25</f>
        <v>5700</v>
      </c>
      <c r="H25" s="4">
        <f>(60*B25)+(D25)+(F25/100)</f>
        <v>57</v>
      </c>
      <c r="I25" s="1" t="s">
        <v>7</v>
      </c>
      <c r="J25" s="14">
        <f>INT(0.4192*((102-H25)^2)+0)</f>
        <v>848</v>
      </c>
      <c r="K25" s="56"/>
      <c r="N25"/>
    </row>
    <row r="26" spans="1:14" ht="12.75">
      <c r="A26" s="55" t="s">
        <v>6</v>
      </c>
      <c r="B26" s="3">
        <v>4</v>
      </c>
      <c r="C26" s="18" t="s">
        <v>4</v>
      </c>
      <c r="D26" s="3">
        <v>58</v>
      </c>
      <c r="E26" s="18" t="s">
        <v>5</v>
      </c>
      <c r="F26" s="3">
        <v>0</v>
      </c>
      <c r="G26" s="4">
        <f>((B26*60)*100)+(100*D26)+F26</f>
        <v>29800</v>
      </c>
      <c r="H26" s="4">
        <f>(60*B26)+(D26)+(F26/100)</f>
        <v>298</v>
      </c>
      <c r="I26" s="1" t="s">
        <v>7</v>
      </c>
      <c r="J26" s="14">
        <f>INT(0.0209*((472-H26)^2)+0)</f>
        <v>632</v>
      </c>
      <c r="K26" s="56"/>
      <c r="N26"/>
    </row>
    <row r="27" spans="1:14" ht="12.75">
      <c r="A27" s="55" t="s">
        <v>8</v>
      </c>
      <c r="B27" s="3">
        <v>6</v>
      </c>
      <c r="C27" s="18" t="s">
        <v>4</v>
      </c>
      <c r="D27" s="3">
        <v>55</v>
      </c>
      <c r="E27" s="18" t="s">
        <v>5</v>
      </c>
      <c r="F27" s="3">
        <v>0</v>
      </c>
      <c r="G27" s="4">
        <f>((B27*60)*100)+(100*D27)+F27</f>
        <v>41500</v>
      </c>
      <c r="H27" s="4">
        <f>(60*B27)+(D27)+(F27/100)</f>
        <v>415</v>
      </c>
      <c r="I27" s="1" t="s">
        <v>7</v>
      </c>
      <c r="J27" s="14">
        <f>INT(0.01257*((630-H27)^2)+0)</f>
        <v>581</v>
      </c>
      <c r="K27" s="56"/>
      <c r="N27"/>
    </row>
    <row r="28" spans="1:14" ht="12.75">
      <c r="A28" s="55" t="s">
        <v>9</v>
      </c>
      <c r="B28" s="3">
        <v>10</v>
      </c>
      <c r="C28" s="18" t="s">
        <v>4</v>
      </c>
      <c r="D28" s="3">
        <v>26</v>
      </c>
      <c r="E28" s="18" t="s">
        <v>5</v>
      </c>
      <c r="F28" s="3">
        <v>11</v>
      </c>
      <c r="G28" s="4">
        <f>((B28*60)*100)+(100*D28)+F28</f>
        <v>62611</v>
      </c>
      <c r="H28" s="4">
        <f>(60*B28)+(D28)+(F28/100)</f>
        <v>626.11</v>
      </c>
      <c r="I28" s="1" t="s">
        <v>7</v>
      </c>
      <c r="J28" s="14">
        <f>INT(0.00376*((1060-H28)^2)+0)</f>
        <v>707</v>
      </c>
      <c r="K28" s="56"/>
      <c r="N28"/>
    </row>
    <row r="29" spans="1:14" ht="12.75">
      <c r="A29" s="55" t="s">
        <v>16</v>
      </c>
      <c r="B29" s="43">
        <v>46</v>
      </c>
      <c r="C29" s="44"/>
      <c r="D29" s="44"/>
      <c r="E29" s="44"/>
      <c r="F29" s="45"/>
      <c r="G29" s="4"/>
      <c r="H29" s="4"/>
      <c r="I29" s="1" t="s">
        <v>3</v>
      </c>
      <c r="J29" s="14">
        <f>INT(1.2019*((70-B29)^2)+0)</f>
        <v>692</v>
      </c>
      <c r="K29" s="56"/>
      <c r="N29"/>
    </row>
    <row r="30" spans="1:14" ht="12.75">
      <c r="A30" s="55" t="s">
        <v>31</v>
      </c>
      <c r="B30" s="3">
        <v>1</v>
      </c>
      <c r="C30" s="18" t="s">
        <v>4</v>
      </c>
      <c r="D30" s="3">
        <v>44</v>
      </c>
      <c r="E30" s="18" t="s">
        <v>5</v>
      </c>
      <c r="F30" s="3">
        <v>21</v>
      </c>
      <c r="G30" s="4"/>
      <c r="H30" s="4">
        <f>(60*B30)+(D30)+(F30/100)</f>
        <v>104.21</v>
      </c>
      <c r="I30" s="1" t="s">
        <v>3</v>
      </c>
      <c r="J30" s="14">
        <f>INT(0.29767*((144-H30)^2)+1.02617)</f>
        <v>472</v>
      </c>
      <c r="K30" s="56"/>
      <c r="N30"/>
    </row>
    <row r="31" spans="1:14" ht="12.75">
      <c r="A31" s="55" t="s">
        <v>17</v>
      </c>
      <c r="B31" s="3">
        <v>4</v>
      </c>
      <c r="C31" s="18" t="s">
        <v>4</v>
      </c>
      <c r="D31" s="3">
        <v>1</v>
      </c>
      <c r="E31" s="18" t="s">
        <v>5</v>
      </c>
      <c r="F31" s="3">
        <v>22</v>
      </c>
      <c r="G31" s="4">
        <f>((B31*60)*100)+(100*D31)+F31</f>
        <v>24122</v>
      </c>
      <c r="H31" s="4">
        <f>(60*B31)+(D31)+(F31/100)</f>
        <v>241.22</v>
      </c>
      <c r="I31" s="1" t="s">
        <v>7</v>
      </c>
      <c r="J31" s="14">
        <f>INT(0.05404*((328-H31)^2)+1.02617)</f>
        <v>407</v>
      </c>
      <c r="K31" s="56"/>
      <c r="N31"/>
    </row>
    <row r="32" spans="1:14" ht="12.75">
      <c r="A32" s="55" t="s">
        <v>18</v>
      </c>
      <c r="B32" s="43">
        <v>1.8</v>
      </c>
      <c r="C32" s="44"/>
      <c r="D32" s="44"/>
      <c r="E32" s="44"/>
      <c r="F32" s="45"/>
      <c r="G32" s="4"/>
      <c r="H32" s="4"/>
      <c r="I32" s="1" t="s">
        <v>19</v>
      </c>
      <c r="J32" s="14">
        <f>INT(39.382*(((B32+10.205)^2)-126.9616))</f>
        <v>675</v>
      </c>
      <c r="K32" s="56"/>
      <c r="N32"/>
    </row>
    <row r="33" spans="1:14" ht="12.75">
      <c r="A33" s="55" t="s">
        <v>20</v>
      </c>
      <c r="B33" s="43">
        <v>6.29</v>
      </c>
      <c r="C33" s="44"/>
      <c r="D33" s="44"/>
      <c r="E33" s="44"/>
      <c r="F33" s="45"/>
      <c r="G33" s="4"/>
      <c r="H33" s="4"/>
      <c r="I33" s="1" t="s">
        <v>19</v>
      </c>
      <c r="J33" s="14">
        <f>INT(1.821*(((B33+50.005)^2)-2745.744))</f>
        <v>770</v>
      </c>
      <c r="K33" s="56"/>
      <c r="N33"/>
    </row>
    <row r="34" spans="1:14" ht="12.75">
      <c r="A34" s="55" t="s">
        <v>26</v>
      </c>
      <c r="B34" s="43">
        <v>14.55</v>
      </c>
      <c r="C34" s="44"/>
      <c r="D34" s="44"/>
      <c r="E34" s="44"/>
      <c r="F34" s="45"/>
      <c r="G34" s="4"/>
      <c r="H34" s="4"/>
      <c r="I34" s="1" t="s">
        <v>19</v>
      </c>
      <c r="J34" s="14">
        <f>INT(0.473*(((B34+97.005)^2)-10570.82))</f>
        <v>886</v>
      </c>
      <c r="K34" s="56"/>
      <c r="N34"/>
    </row>
    <row r="35" spans="1:14" ht="12.75">
      <c r="A35" s="55" t="s">
        <v>21</v>
      </c>
      <c r="B35" s="43">
        <v>5.1</v>
      </c>
      <c r="C35" s="44"/>
      <c r="D35" s="44"/>
      <c r="E35" s="44"/>
      <c r="F35" s="45"/>
      <c r="G35" s="4"/>
      <c r="H35" s="4"/>
      <c r="I35" s="1" t="s">
        <v>19</v>
      </c>
      <c r="J35" s="14">
        <f>INT(1.821*(((B35+50.005)^2)-2745.744))</f>
        <v>529</v>
      </c>
      <c r="K35" s="56"/>
      <c r="N35"/>
    </row>
    <row r="36" spans="1:14" ht="12.75">
      <c r="A36" s="55" t="s">
        <v>22</v>
      </c>
      <c r="B36" s="43">
        <v>18.45</v>
      </c>
      <c r="C36" s="44"/>
      <c r="D36" s="44"/>
      <c r="E36" s="44"/>
      <c r="F36" s="45"/>
      <c r="G36" s="4"/>
      <c r="H36" s="4"/>
      <c r="I36" s="1" t="s">
        <v>19</v>
      </c>
      <c r="J36" s="14">
        <f>INT(0.04298*(((B36+681.005)^2)-465332.7))</f>
        <v>1027</v>
      </c>
      <c r="K36" s="56"/>
      <c r="N36"/>
    </row>
    <row r="37" spans="1:14" ht="12.75">
      <c r="A37" s="55" t="s">
        <v>23</v>
      </c>
      <c r="B37" s="43">
        <v>47</v>
      </c>
      <c r="C37" s="44"/>
      <c r="D37" s="44"/>
      <c r="E37" s="44"/>
      <c r="F37" s="45"/>
      <c r="G37" s="4"/>
      <c r="H37" s="4"/>
      <c r="I37" s="1" t="s">
        <v>19</v>
      </c>
      <c r="J37" s="14">
        <f>INT(0.002454*(((B37+2850.005)^2)-8149959))</f>
        <v>595</v>
      </c>
      <c r="K37" s="56"/>
      <c r="N37"/>
    </row>
    <row r="38" spans="1:14" ht="12.75">
      <c r="A38" s="55" t="s">
        <v>24</v>
      </c>
      <c r="B38" s="43">
        <v>46.7</v>
      </c>
      <c r="C38" s="44"/>
      <c r="D38" s="44"/>
      <c r="E38" s="44"/>
      <c r="F38" s="45"/>
      <c r="G38" s="4"/>
      <c r="H38" s="4"/>
      <c r="I38" s="1" t="s">
        <v>19</v>
      </c>
      <c r="J38" s="14">
        <f>INT(0.004233*(((B38+2170.005)^2)-4724781))</f>
        <v>800</v>
      </c>
      <c r="K38" s="56"/>
      <c r="N38"/>
    </row>
    <row r="39" spans="1:14" ht="13.5" thickBot="1">
      <c r="A39" s="57" t="s">
        <v>25</v>
      </c>
      <c r="B39" s="65">
        <v>58</v>
      </c>
      <c r="C39" s="66"/>
      <c r="D39" s="66"/>
      <c r="E39" s="66"/>
      <c r="F39" s="67"/>
      <c r="G39" s="41"/>
      <c r="H39" s="41"/>
      <c r="I39" s="69" t="s">
        <v>19</v>
      </c>
      <c r="J39" s="34">
        <f>INT(0.002949*(((B39+2600.005)^2)-6782420))</f>
        <v>833</v>
      </c>
      <c r="K39" s="52"/>
      <c r="N39"/>
    </row>
    <row r="40" spans="1:14" ht="13.5" thickBot="1">
      <c r="A40" s="7"/>
      <c r="B40" s="8"/>
      <c r="C40" s="19"/>
      <c r="D40" s="8"/>
      <c r="E40" s="19"/>
      <c r="F40" s="8"/>
      <c r="G40" s="9"/>
      <c r="H40" s="9"/>
      <c r="I40" s="10"/>
      <c r="N40"/>
    </row>
    <row r="41" spans="1:14" ht="12.75">
      <c r="A41" s="35" t="s">
        <v>28</v>
      </c>
      <c r="B41" s="36"/>
      <c r="C41" s="37"/>
      <c r="D41" s="36"/>
      <c r="E41" s="37"/>
      <c r="F41" s="36"/>
      <c r="G41" s="38"/>
      <c r="H41" s="38"/>
      <c r="I41" s="39"/>
      <c r="J41" s="46" t="s">
        <v>36</v>
      </c>
      <c r="K41" s="51"/>
      <c r="N41"/>
    </row>
    <row r="42" spans="1:14" ht="13.5" thickBot="1">
      <c r="A42" s="40" t="s">
        <v>0</v>
      </c>
      <c r="B42" s="47" t="s">
        <v>1</v>
      </c>
      <c r="C42" s="47"/>
      <c r="D42" s="47"/>
      <c r="E42" s="47"/>
      <c r="F42" s="47"/>
      <c r="G42" s="41"/>
      <c r="H42" s="41"/>
      <c r="I42" s="42" t="s">
        <v>2</v>
      </c>
      <c r="J42" s="34" t="s">
        <v>32</v>
      </c>
      <c r="K42" s="52" t="s">
        <v>33</v>
      </c>
      <c r="N42"/>
    </row>
    <row r="43" spans="1:14" ht="12.75">
      <c r="A43" s="59">
        <v>50</v>
      </c>
      <c r="B43" s="48">
        <v>7.45</v>
      </c>
      <c r="C43" s="49"/>
      <c r="D43" s="49"/>
      <c r="E43" s="49"/>
      <c r="F43" s="50"/>
      <c r="G43" s="60"/>
      <c r="H43" s="21"/>
      <c r="I43" s="12" t="s">
        <v>3</v>
      </c>
      <c r="J43" s="23">
        <f>INT(25.019*((13.1-B43)^2)+0)</f>
        <v>798</v>
      </c>
      <c r="K43" s="54"/>
      <c r="N43"/>
    </row>
    <row r="44" spans="1:14" ht="12.75">
      <c r="A44" s="61">
        <v>55</v>
      </c>
      <c r="B44" s="43">
        <v>8.55</v>
      </c>
      <c r="C44" s="44"/>
      <c r="D44" s="44"/>
      <c r="E44" s="44"/>
      <c r="F44" s="45"/>
      <c r="G44" s="60"/>
      <c r="H44" s="2"/>
      <c r="I44" s="6" t="s">
        <v>3</v>
      </c>
      <c r="J44" s="14"/>
      <c r="K44" s="56">
        <f>INT(20.568*((14.3-B44)^2)+0)</f>
        <v>680</v>
      </c>
      <c r="N44"/>
    </row>
    <row r="45" spans="1:14" ht="12.75">
      <c r="A45" s="61">
        <v>60</v>
      </c>
      <c r="B45" s="43">
        <v>8.1</v>
      </c>
      <c r="C45" s="44"/>
      <c r="D45" s="44"/>
      <c r="E45" s="44"/>
      <c r="F45" s="45"/>
      <c r="G45" s="60"/>
      <c r="H45" s="2"/>
      <c r="I45" s="6" t="s">
        <v>3</v>
      </c>
      <c r="J45" s="14"/>
      <c r="K45" s="56">
        <f>INT(17.573*((15.4-B45)^2)+0)</f>
        <v>936</v>
      </c>
      <c r="N45"/>
    </row>
    <row r="46" spans="1:14" ht="12.75">
      <c r="A46" s="61">
        <v>100</v>
      </c>
      <c r="B46" s="43">
        <v>12.17</v>
      </c>
      <c r="C46" s="44"/>
      <c r="D46" s="44"/>
      <c r="E46" s="44"/>
      <c r="F46" s="45"/>
      <c r="G46" s="60"/>
      <c r="H46" s="2"/>
      <c r="I46" s="6" t="s">
        <v>3</v>
      </c>
      <c r="J46" s="14">
        <f>INT(6.5713*((24.5-B46)^2)+0)</f>
        <v>999</v>
      </c>
      <c r="K46" s="56"/>
      <c r="N46"/>
    </row>
    <row r="47" spans="1:14" ht="12.75">
      <c r="A47" s="61">
        <v>200</v>
      </c>
      <c r="B47" s="43">
        <v>25.7</v>
      </c>
      <c r="C47" s="44"/>
      <c r="D47" s="44"/>
      <c r="E47" s="44"/>
      <c r="F47" s="45"/>
      <c r="G47" s="60"/>
      <c r="H47" s="2"/>
      <c r="I47" s="6" t="s">
        <v>3</v>
      </c>
      <c r="J47" s="14">
        <f>INT(1.2685*((53-B47)^2)+0)</f>
        <v>945</v>
      </c>
      <c r="K47" s="56">
        <f>INT(1.3216*((53-B47)^2)+0)</f>
        <v>984</v>
      </c>
      <c r="N47"/>
    </row>
    <row r="48" spans="1:14" ht="12.75">
      <c r="A48" s="61">
        <v>300</v>
      </c>
      <c r="B48" s="43">
        <v>36.8</v>
      </c>
      <c r="C48" s="44"/>
      <c r="D48" s="44"/>
      <c r="E48" s="44"/>
      <c r="F48" s="45"/>
      <c r="G48" s="60"/>
      <c r="H48" s="2"/>
      <c r="I48" s="11" t="s">
        <v>3</v>
      </c>
      <c r="J48" s="14">
        <f>INT(0.46566*((86-B48)^2)+0)</f>
        <v>1127</v>
      </c>
      <c r="K48" s="56">
        <f>INT(0.512*((86-B48)^2)+0)</f>
        <v>1239</v>
      </c>
      <c r="N48"/>
    </row>
    <row r="49" spans="1:14" ht="12.75">
      <c r="A49" s="55">
        <v>400</v>
      </c>
      <c r="B49" s="3">
        <v>1</v>
      </c>
      <c r="C49" s="18" t="s">
        <v>4</v>
      </c>
      <c r="D49" s="3">
        <v>1</v>
      </c>
      <c r="E49" s="18" t="s">
        <v>5</v>
      </c>
      <c r="F49" s="3">
        <v>0</v>
      </c>
      <c r="G49" s="4">
        <f>((B49*60)*100)+(100*D49)+F49</f>
        <v>6100</v>
      </c>
      <c r="H49" s="4">
        <f aca="true" t="shared" si="2" ref="H49:H66">(60*B49)+(D49)+(F49/100)</f>
        <v>61</v>
      </c>
      <c r="I49" s="1" t="s">
        <v>7</v>
      </c>
      <c r="J49" s="14">
        <f>INT(0.2453*((120-H49)^2)+0)</f>
        <v>853</v>
      </c>
      <c r="K49" s="56">
        <f>INT(0.2533*((120-H49)^2)+0)</f>
        <v>881</v>
      </c>
      <c r="N49"/>
    </row>
    <row r="50" spans="1:14" ht="12.75">
      <c r="A50" s="55">
        <v>500</v>
      </c>
      <c r="B50" s="3">
        <v>1</v>
      </c>
      <c r="C50" s="18" t="s">
        <v>4</v>
      </c>
      <c r="D50" s="3">
        <v>33</v>
      </c>
      <c r="E50" s="18" t="s">
        <v>5</v>
      </c>
      <c r="F50" s="3">
        <v>4</v>
      </c>
      <c r="G50" s="4">
        <f>((B50*60)*100)+(100*D50)+F50</f>
        <v>9304</v>
      </c>
      <c r="H50" s="4">
        <f>(60*B50)+(D50)+(F50/100)</f>
        <v>93.04</v>
      </c>
      <c r="I50" s="1" t="s">
        <v>7</v>
      </c>
      <c r="J50" s="62"/>
      <c r="K50" s="56">
        <f>INT(0.15851*((156-H50)^2)+0)</f>
        <v>628</v>
      </c>
      <c r="N50"/>
    </row>
    <row r="51" spans="1:14" ht="12.75">
      <c r="A51" s="55">
        <v>600</v>
      </c>
      <c r="B51" s="3">
        <v>2</v>
      </c>
      <c r="C51" s="18" t="s">
        <v>4</v>
      </c>
      <c r="D51" s="3">
        <v>2</v>
      </c>
      <c r="E51" s="18" t="s">
        <v>5</v>
      </c>
      <c r="F51" s="3">
        <v>1</v>
      </c>
      <c r="G51" s="4">
        <f aca="true" t="shared" si="3" ref="G51:G59">((B51*60)*100)+(100*D51)+F51</f>
        <v>12201</v>
      </c>
      <c r="H51" s="4">
        <f t="shared" si="2"/>
        <v>122.01</v>
      </c>
      <c r="I51" s="1" t="s">
        <v>7</v>
      </c>
      <c r="J51" s="16">
        <f>INT(0.11295*((185-H51)^2)+0)</f>
        <v>448</v>
      </c>
      <c r="K51" s="56"/>
      <c r="N51"/>
    </row>
    <row r="52" spans="1:14" ht="12.75">
      <c r="A52" s="55">
        <v>800</v>
      </c>
      <c r="B52" s="3">
        <v>2</v>
      </c>
      <c r="C52" s="18" t="s">
        <v>4</v>
      </c>
      <c r="D52" s="3">
        <v>45</v>
      </c>
      <c r="E52" s="18" t="s">
        <v>5</v>
      </c>
      <c r="F52" s="3">
        <v>2</v>
      </c>
      <c r="G52" s="4">
        <f t="shared" si="3"/>
        <v>16502</v>
      </c>
      <c r="H52" s="4">
        <f t="shared" si="2"/>
        <v>165.02</v>
      </c>
      <c r="I52" s="1" t="s">
        <v>7</v>
      </c>
      <c r="J52" s="14">
        <f>INT(0.06826*((250-H52)^2)+0)</f>
        <v>492</v>
      </c>
      <c r="K52" s="56">
        <f>INT(0.0705*((250-H52)^2)+0)</f>
        <v>509</v>
      </c>
      <c r="N52"/>
    </row>
    <row r="53" spans="1:14" ht="12.75">
      <c r="A53" s="55">
        <v>1000</v>
      </c>
      <c r="B53" s="3">
        <v>3</v>
      </c>
      <c r="C53" s="18" t="s">
        <v>4</v>
      </c>
      <c r="D53" s="3">
        <v>20</v>
      </c>
      <c r="E53" s="18" t="s">
        <v>5</v>
      </c>
      <c r="F53" s="3">
        <v>3</v>
      </c>
      <c r="G53" s="4">
        <f t="shared" si="3"/>
        <v>20003</v>
      </c>
      <c r="H53" s="4">
        <f t="shared" si="2"/>
        <v>200.03</v>
      </c>
      <c r="I53" s="1" t="s">
        <v>7</v>
      </c>
      <c r="J53" s="14">
        <f>INT(0.03885*((330-H53)^2)+0)</f>
        <v>656</v>
      </c>
      <c r="K53" s="56">
        <f>INT(0.04023*((330-H53)^2)+0)</f>
        <v>679</v>
      </c>
      <c r="N53"/>
    </row>
    <row r="54" spans="1:14" ht="12.75">
      <c r="A54" s="55">
        <v>1500</v>
      </c>
      <c r="B54" s="3">
        <v>4</v>
      </c>
      <c r="C54" s="18" t="s">
        <v>4</v>
      </c>
      <c r="D54" s="3">
        <v>5</v>
      </c>
      <c r="E54" s="18" t="s">
        <v>5</v>
      </c>
      <c r="F54" s="3">
        <v>4</v>
      </c>
      <c r="G54" s="4">
        <f t="shared" si="3"/>
        <v>24504</v>
      </c>
      <c r="H54" s="4">
        <f t="shared" si="2"/>
        <v>245.04</v>
      </c>
      <c r="I54" s="1" t="s">
        <v>7</v>
      </c>
      <c r="J54" s="14">
        <f>INT(0.013457*((540-H54)^2)+0)</f>
        <v>1170</v>
      </c>
      <c r="K54" s="56">
        <f>INT(0.01382*((540-H54)^2)+0)</f>
        <v>1202</v>
      </c>
      <c r="N54"/>
    </row>
    <row r="55" spans="1:14" ht="12.75">
      <c r="A55" s="55" t="s">
        <v>34</v>
      </c>
      <c r="B55" s="3">
        <v>4</v>
      </c>
      <c r="C55" s="18" t="s">
        <v>4</v>
      </c>
      <c r="D55" s="3">
        <v>55</v>
      </c>
      <c r="E55" s="18" t="s">
        <v>5</v>
      </c>
      <c r="F55" s="3">
        <v>5</v>
      </c>
      <c r="G55" s="4">
        <f>((B55*60)*100)+(100*D55)+F55</f>
        <v>29505</v>
      </c>
      <c r="H55" s="4">
        <f>(60*B55)+(D55)+(F55/100)</f>
        <v>295.05</v>
      </c>
      <c r="I55" s="1" t="s">
        <v>7</v>
      </c>
      <c r="J55" s="14">
        <f>INT(0.01199*((580-H55)^2)+0)</f>
        <v>973</v>
      </c>
      <c r="K55" s="56">
        <f>INT(0.01214*((580-H55)^2)+0)</f>
        <v>985</v>
      </c>
      <c r="N55"/>
    </row>
    <row r="56" spans="1:14" ht="12.75">
      <c r="A56" s="55">
        <v>2000</v>
      </c>
      <c r="B56" s="3">
        <v>6</v>
      </c>
      <c r="C56" s="18" t="s">
        <v>4</v>
      </c>
      <c r="D56" s="3">
        <v>6</v>
      </c>
      <c r="E56" s="18" t="s">
        <v>5</v>
      </c>
      <c r="F56" s="3">
        <v>5</v>
      </c>
      <c r="G56" s="4">
        <f t="shared" si="3"/>
        <v>36605</v>
      </c>
      <c r="H56" s="4">
        <f t="shared" si="2"/>
        <v>366.05</v>
      </c>
      <c r="I56" s="1" t="s">
        <v>7</v>
      </c>
      <c r="J56" s="14">
        <f>INT(0.007019*((750-H56)^2)+0)</f>
        <v>1034</v>
      </c>
      <c r="K56" s="56">
        <f>INT(0.007183*((750-H56)^2)+0)</f>
        <v>1058</v>
      </c>
      <c r="N56"/>
    </row>
    <row r="57" spans="1:14" ht="12.75">
      <c r="A57" s="55">
        <v>3000</v>
      </c>
      <c r="B57" s="3">
        <v>9</v>
      </c>
      <c r="C57" s="18" t="s">
        <v>4</v>
      </c>
      <c r="D57" s="3">
        <v>7</v>
      </c>
      <c r="E57" s="18" t="s">
        <v>5</v>
      </c>
      <c r="F57" s="3">
        <v>6</v>
      </c>
      <c r="G57" s="4">
        <f t="shared" si="3"/>
        <v>54706</v>
      </c>
      <c r="H57" s="4">
        <f t="shared" si="2"/>
        <v>547.06</v>
      </c>
      <c r="I57" s="1" t="s">
        <v>7</v>
      </c>
      <c r="J57" s="14">
        <f>INT(0.002568*((1200-H57)^2)+0)</f>
        <v>1094</v>
      </c>
      <c r="K57" s="56">
        <f>INT(0.002637*((1200-H57)^2)+0)</f>
        <v>1124</v>
      </c>
      <c r="N57"/>
    </row>
    <row r="58" spans="1:14" ht="12.75">
      <c r="A58" s="55">
        <v>5000</v>
      </c>
      <c r="B58" s="3">
        <v>19</v>
      </c>
      <c r="C58" s="18" t="s">
        <v>4</v>
      </c>
      <c r="D58" s="3">
        <v>8</v>
      </c>
      <c r="E58" s="18" t="s">
        <v>5</v>
      </c>
      <c r="F58" s="3">
        <v>7</v>
      </c>
      <c r="G58" s="4">
        <f t="shared" si="3"/>
        <v>114807</v>
      </c>
      <c r="H58" s="4">
        <f t="shared" si="2"/>
        <v>1148.07</v>
      </c>
      <c r="I58" s="1" t="s">
        <v>7</v>
      </c>
      <c r="J58" s="14">
        <f>INT(0.000818*((2100-H58)^2)+0)</f>
        <v>741</v>
      </c>
      <c r="K58" s="56">
        <f>INT(0.000868*((2100-H58)^2)+0)</f>
        <v>786</v>
      </c>
      <c r="N58"/>
    </row>
    <row r="59" spans="1:14" ht="12.75">
      <c r="A59" s="55">
        <v>10000</v>
      </c>
      <c r="B59" s="3">
        <v>37</v>
      </c>
      <c r="C59" s="18" t="s">
        <v>4</v>
      </c>
      <c r="D59" s="3">
        <v>9</v>
      </c>
      <c r="E59" s="18" t="s">
        <v>5</v>
      </c>
      <c r="F59" s="3">
        <v>88</v>
      </c>
      <c r="G59" s="4">
        <f t="shared" si="3"/>
        <v>222988</v>
      </c>
      <c r="H59" s="4">
        <f t="shared" si="2"/>
        <v>2229.88</v>
      </c>
      <c r="I59" s="1" t="s">
        <v>7</v>
      </c>
      <c r="J59" s="14">
        <f>INT(0.000174*((4500-H59)^2)+0)</f>
        <v>896</v>
      </c>
      <c r="K59" s="56"/>
      <c r="N59"/>
    </row>
    <row r="60" spans="1:14" ht="12.75">
      <c r="A60" s="61" t="s">
        <v>10</v>
      </c>
      <c r="B60" s="43">
        <v>8.22</v>
      </c>
      <c r="C60" s="44"/>
      <c r="D60" s="44"/>
      <c r="E60" s="44"/>
      <c r="F60" s="45"/>
      <c r="G60" s="4"/>
      <c r="H60" s="4"/>
      <c r="I60" s="12" t="s">
        <v>3</v>
      </c>
      <c r="J60" s="14"/>
      <c r="K60" s="56">
        <f>INT(13.636*((16.1-B60)^2)+0)</f>
        <v>846</v>
      </c>
      <c r="N60"/>
    </row>
    <row r="61" spans="1:14" ht="12.75">
      <c r="A61" s="61" t="s">
        <v>37</v>
      </c>
      <c r="B61" s="43">
        <v>9.33</v>
      </c>
      <c r="C61" s="44"/>
      <c r="D61" s="44"/>
      <c r="E61" s="44"/>
      <c r="F61" s="45"/>
      <c r="G61" s="4"/>
      <c r="H61" s="4"/>
      <c r="I61" s="12" t="s">
        <v>3</v>
      </c>
      <c r="J61" s="14"/>
      <c r="K61" s="56">
        <f>INT(11.361*((16.1-B61)^2)+0)</f>
        <v>520</v>
      </c>
      <c r="N61"/>
    </row>
    <row r="62" spans="1:14" ht="12.75">
      <c r="A62" s="61" t="s">
        <v>11</v>
      </c>
      <c r="B62" s="43">
        <v>10.4</v>
      </c>
      <c r="C62" s="44"/>
      <c r="D62" s="44"/>
      <c r="E62" s="44"/>
      <c r="F62" s="45"/>
      <c r="G62" s="4"/>
      <c r="H62" s="4"/>
      <c r="I62" s="6" t="s">
        <v>3</v>
      </c>
      <c r="J62" s="14"/>
      <c r="K62" s="56">
        <f>INT(9.466*((19.2-B62)^2)+0)</f>
        <v>733</v>
      </c>
      <c r="N62"/>
    </row>
    <row r="63" spans="1:14" ht="12.75">
      <c r="A63" s="61" t="s">
        <v>12</v>
      </c>
      <c r="B63" s="43">
        <v>11.3</v>
      </c>
      <c r="C63" s="44"/>
      <c r="D63" s="44"/>
      <c r="E63" s="44"/>
      <c r="F63" s="45"/>
      <c r="G63" s="4"/>
      <c r="H63" s="4"/>
      <c r="I63" s="6" t="s">
        <v>3</v>
      </c>
      <c r="J63" s="14"/>
      <c r="K63" s="56">
        <f>INT(9.466*((19.2-B63)^2)+0)</f>
        <v>590</v>
      </c>
      <c r="N63"/>
    </row>
    <row r="64" spans="1:14" ht="12.75">
      <c r="A64" s="61" t="s">
        <v>13</v>
      </c>
      <c r="B64" s="43">
        <v>16.55</v>
      </c>
      <c r="C64" s="44"/>
      <c r="D64" s="44"/>
      <c r="E64" s="44"/>
      <c r="F64" s="45"/>
      <c r="G64" s="4"/>
      <c r="H64" s="4"/>
      <c r="I64" s="11" t="s">
        <v>3</v>
      </c>
      <c r="J64" s="14">
        <f>INT(3.4273*((31.4-B64)^2)+0)</f>
        <v>755</v>
      </c>
      <c r="K64" s="56"/>
      <c r="N64"/>
    </row>
    <row r="65" spans="1:14" ht="12.75">
      <c r="A65" s="61" t="s">
        <v>38</v>
      </c>
      <c r="B65" s="43">
        <v>58</v>
      </c>
      <c r="C65" s="44"/>
      <c r="D65" s="44"/>
      <c r="E65" s="44"/>
      <c r="F65" s="45"/>
      <c r="G65" s="4"/>
      <c r="H65" s="4"/>
      <c r="I65" s="11" t="s">
        <v>3</v>
      </c>
      <c r="J65" s="14">
        <f>INT(0.257*((112-B65)^2)+0)</f>
        <v>749</v>
      </c>
      <c r="K65" s="56"/>
      <c r="N65"/>
    </row>
    <row r="66" spans="1:14" ht="12.75">
      <c r="A66" s="61" t="s">
        <v>15</v>
      </c>
      <c r="B66" s="3">
        <v>1</v>
      </c>
      <c r="C66" s="20" t="s">
        <v>4</v>
      </c>
      <c r="D66" s="3">
        <v>4</v>
      </c>
      <c r="E66" s="20" t="s">
        <v>5</v>
      </c>
      <c r="F66" s="3">
        <v>0</v>
      </c>
      <c r="G66" s="4">
        <f>((B66*60)*100)+(100*D66)+F66</f>
        <v>6400</v>
      </c>
      <c r="H66" s="4">
        <f t="shared" si="2"/>
        <v>64</v>
      </c>
      <c r="I66" s="5" t="s">
        <v>7</v>
      </c>
      <c r="J66" s="14">
        <f>INT(0.1761*((137-H66)^2)+0)</f>
        <v>938</v>
      </c>
      <c r="K66" s="56"/>
      <c r="N66"/>
    </row>
    <row r="67" spans="1:14" ht="12.75">
      <c r="A67" s="61" t="s">
        <v>8</v>
      </c>
      <c r="B67" s="3">
        <v>6</v>
      </c>
      <c r="C67" s="20" t="s">
        <v>4</v>
      </c>
      <c r="D67" s="3">
        <v>22</v>
      </c>
      <c r="E67" s="20" t="s">
        <v>5</v>
      </c>
      <c r="F67" s="3">
        <v>5</v>
      </c>
      <c r="G67" s="4">
        <f>((B67*60)*100)+(100*D67)+F67</f>
        <v>38205</v>
      </c>
      <c r="H67" s="4">
        <f>(60*B67)+(D67)+(F67/100)</f>
        <v>382.05</v>
      </c>
      <c r="I67" s="5" t="s">
        <v>7</v>
      </c>
      <c r="J67" s="14">
        <f>INT(0.005165*((860-H67)^2)+0)</f>
        <v>1179</v>
      </c>
      <c r="K67" s="56"/>
      <c r="N67"/>
    </row>
    <row r="68" spans="1:14" ht="12.75">
      <c r="A68" s="61" t="s">
        <v>16</v>
      </c>
      <c r="B68" s="43">
        <v>53.1</v>
      </c>
      <c r="C68" s="44"/>
      <c r="D68" s="44"/>
      <c r="E68" s="44"/>
      <c r="F68" s="45"/>
      <c r="G68" s="4"/>
      <c r="H68" s="4"/>
      <c r="I68" s="13" t="s">
        <v>3</v>
      </c>
      <c r="J68" s="14">
        <f>INT(0.3954*((98-B68)^2)+0)</f>
        <v>797</v>
      </c>
      <c r="K68" s="56"/>
      <c r="N68"/>
    </row>
    <row r="69" spans="1:14" ht="12.75">
      <c r="A69" s="61" t="s">
        <v>31</v>
      </c>
      <c r="B69" s="3">
        <v>1</v>
      </c>
      <c r="C69" s="20" t="s">
        <v>4</v>
      </c>
      <c r="D69" s="3">
        <v>55</v>
      </c>
      <c r="E69" s="20" t="s">
        <v>5</v>
      </c>
      <c r="F69" s="3">
        <v>0</v>
      </c>
      <c r="G69" s="4">
        <f>((B69*60)*100)+(100*D69)+F69</f>
        <v>11500</v>
      </c>
      <c r="H69" s="4">
        <f>(60*B69)+(D69)+(F69/100)</f>
        <v>115</v>
      </c>
      <c r="I69" s="5" t="s">
        <v>7</v>
      </c>
      <c r="J69" s="14">
        <f>INT(0.08169*((212-H69)^2)+0)</f>
        <v>768</v>
      </c>
      <c r="K69" s="56">
        <f>INT(0.08533*((212-H69)^2)+0)</f>
        <v>802</v>
      </c>
      <c r="N69"/>
    </row>
    <row r="70" spans="1:14" ht="12.75">
      <c r="A70" s="61" t="s">
        <v>17</v>
      </c>
      <c r="B70" s="3">
        <v>4</v>
      </c>
      <c r="C70" s="20" t="s">
        <v>4</v>
      </c>
      <c r="D70" s="3">
        <v>0</v>
      </c>
      <c r="E70" s="20" t="s">
        <v>5</v>
      </c>
      <c r="F70" s="3">
        <v>0</v>
      </c>
      <c r="G70" s="4">
        <f>((B70*60)*100)+(100*D70)+F70</f>
        <v>24000</v>
      </c>
      <c r="H70" s="4">
        <f>(60*B70)+(D70)+(F70/100)</f>
        <v>240</v>
      </c>
      <c r="I70" s="5" t="s">
        <v>7</v>
      </c>
      <c r="J70" s="14">
        <f>INT(0.01562*((480-H70)^2)+0)</f>
        <v>899</v>
      </c>
      <c r="K70" s="56">
        <f>INT(0.01628*((480-H70)^2)+0)</f>
        <v>937</v>
      </c>
      <c r="N70"/>
    </row>
    <row r="71" spans="1:14" ht="12.75">
      <c r="A71" s="61" t="s">
        <v>18</v>
      </c>
      <c r="B71" s="43">
        <v>1.6</v>
      </c>
      <c r="C71" s="44"/>
      <c r="D71" s="44"/>
      <c r="E71" s="44"/>
      <c r="F71" s="45"/>
      <c r="G71" s="60"/>
      <c r="H71" s="4"/>
      <c r="I71" s="12" t="s">
        <v>19</v>
      </c>
      <c r="J71" s="14">
        <f>INT(49*(((B71+9.205)^2)-101.1143))</f>
        <v>766</v>
      </c>
      <c r="K71" s="56"/>
      <c r="N71"/>
    </row>
    <row r="72" spans="1:14" ht="12.75">
      <c r="A72" s="61" t="s">
        <v>20</v>
      </c>
      <c r="B72" s="43">
        <v>4.75</v>
      </c>
      <c r="C72" s="44"/>
      <c r="D72" s="44"/>
      <c r="E72" s="44"/>
      <c r="F72" s="45"/>
      <c r="G72" s="60"/>
      <c r="H72" s="4"/>
      <c r="I72" s="6" t="s">
        <v>19</v>
      </c>
      <c r="J72" s="14">
        <f>INT(2.2943*(((B72+45.005)^2)-2179.317))</f>
        <v>679</v>
      </c>
      <c r="K72" s="56"/>
      <c r="N72"/>
    </row>
    <row r="73" spans="1:14" ht="12.75">
      <c r="A73" s="61" t="s">
        <v>26</v>
      </c>
      <c r="B73" s="43">
        <v>12.3</v>
      </c>
      <c r="C73" s="44"/>
      <c r="D73" s="44"/>
      <c r="E73" s="44"/>
      <c r="F73" s="45"/>
      <c r="G73" s="60"/>
      <c r="H73" s="4"/>
      <c r="I73" s="6" t="s">
        <v>19</v>
      </c>
      <c r="J73" s="14">
        <f>INT(0.5438*(((B73+92.005)^2)-9194.557))</f>
        <v>916</v>
      </c>
      <c r="K73" s="56"/>
      <c r="N73"/>
    </row>
    <row r="74" spans="1:14" ht="12.75">
      <c r="A74" s="61" t="s">
        <v>21</v>
      </c>
      <c r="B74" s="43">
        <v>3.9</v>
      </c>
      <c r="C74" s="44"/>
      <c r="D74" s="44"/>
      <c r="E74" s="44"/>
      <c r="F74" s="45"/>
      <c r="G74" s="60"/>
      <c r="H74" s="4"/>
      <c r="I74" s="6" t="s">
        <v>19</v>
      </c>
      <c r="J74" s="14">
        <f>INT(5.9026*(((B74+28.005)^2)-847.0844))</f>
        <v>1008</v>
      </c>
      <c r="K74" s="56">
        <f>INT(5.9026*(((B74+28.005)^2)-847.0843607))</f>
        <v>1008</v>
      </c>
      <c r="N74"/>
    </row>
    <row r="75" spans="1:14" ht="12.75">
      <c r="A75" s="61" t="s">
        <v>22</v>
      </c>
      <c r="B75" s="43">
        <v>9.55</v>
      </c>
      <c r="C75" s="44"/>
      <c r="D75" s="44"/>
      <c r="E75" s="44"/>
      <c r="F75" s="45"/>
      <c r="G75" s="60"/>
      <c r="H75" s="4"/>
      <c r="I75" s="6" t="s">
        <v>19</v>
      </c>
      <c r="J75" s="14">
        <f>INT(0.04631*(((B75+656.005)^2)-431872.2))</f>
        <v>513</v>
      </c>
      <c r="K75" s="56"/>
      <c r="N75"/>
    </row>
    <row r="76" spans="1:14" ht="12.75">
      <c r="A76" s="61" t="s">
        <v>24</v>
      </c>
      <c r="B76" s="43">
        <v>44</v>
      </c>
      <c r="C76" s="44"/>
      <c r="D76" s="44"/>
      <c r="E76" s="44"/>
      <c r="F76" s="45"/>
      <c r="G76" s="60"/>
      <c r="H76" s="4"/>
      <c r="I76" s="6" t="s">
        <v>19</v>
      </c>
      <c r="J76" s="14">
        <f>INT(0.004156*(((B76+2190.005)^2)-4812320))</f>
        <v>741</v>
      </c>
      <c r="K76" s="56"/>
      <c r="N76"/>
    </row>
    <row r="77" spans="1:14" ht="12.75">
      <c r="A77" s="61" t="s">
        <v>23</v>
      </c>
      <c r="B77" s="43">
        <v>55</v>
      </c>
      <c r="C77" s="44"/>
      <c r="D77" s="44"/>
      <c r="E77" s="44"/>
      <c r="F77" s="45"/>
      <c r="G77" s="60"/>
      <c r="H77" s="4"/>
      <c r="I77" s="6" t="s">
        <v>19</v>
      </c>
      <c r="J77" s="14">
        <f>INT(0.00408*(((B77+2210.005)^2)-4901961))</f>
        <v>931</v>
      </c>
      <c r="K77" s="56"/>
      <c r="N77"/>
    </row>
    <row r="78" spans="1:14" ht="13.5" thickBot="1">
      <c r="A78" s="64" t="s">
        <v>25</v>
      </c>
      <c r="B78" s="65">
        <v>44</v>
      </c>
      <c r="C78" s="66"/>
      <c r="D78" s="66"/>
      <c r="E78" s="66"/>
      <c r="F78" s="67"/>
      <c r="G78" s="68"/>
      <c r="H78" s="41"/>
      <c r="I78" s="58" t="s">
        <v>19</v>
      </c>
      <c r="J78" s="34">
        <f>INT(0.004118*(((B78+2200.005)^2)-4856727))</f>
        <v>736</v>
      </c>
      <c r="K78" s="52"/>
      <c r="N78"/>
    </row>
    <row r="79" spans="3:14" ht="12.75">
      <c r="C79"/>
      <c r="E79"/>
      <c r="N79"/>
    </row>
    <row r="80" spans="3:14" ht="12.75">
      <c r="C80"/>
      <c r="E80"/>
      <c r="N80"/>
    </row>
    <row r="81" spans="3:14" ht="12.75">
      <c r="C81"/>
      <c r="E81"/>
      <c r="N81"/>
    </row>
    <row r="82" spans="3:14" ht="12.75">
      <c r="C82"/>
      <c r="E82"/>
      <c r="N82"/>
    </row>
    <row r="83" ht="12.75">
      <c r="N83"/>
    </row>
    <row r="84" ht="12.75">
      <c r="N84"/>
    </row>
    <row r="85" ht="12.75">
      <c r="N85"/>
    </row>
    <row r="86" ht="12.75" customHeight="1">
      <c r="N86"/>
    </row>
  </sheetData>
  <mergeCells count="42">
    <mergeCell ref="B8:F8"/>
    <mergeCell ref="B9:F9"/>
    <mergeCell ref="B21:F21"/>
    <mergeCell ref="B22:F22"/>
    <mergeCell ref="B4:F4"/>
    <mergeCell ref="B6:F6"/>
    <mergeCell ref="B7:F7"/>
    <mergeCell ref="B23:F23"/>
    <mergeCell ref="B29:F29"/>
    <mergeCell ref="B32:F32"/>
    <mergeCell ref="B33:F33"/>
    <mergeCell ref="B35:F35"/>
    <mergeCell ref="B36:F36"/>
    <mergeCell ref="B34:F34"/>
    <mergeCell ref="B37:F37"/>
    <mergeCell ref="B38:F38"/>
    <mergeCell ref="B39:F39"/>
    <mergeCell ref="B42:F42"/>
    <mergeCell ref="B43:F43"/>
    <mergeCell ref="B45:F45"/>
    <mergeCell ref="B44:F44"/>
    <mergeCell ref="B73:F73"/>
    <mergeCell ref="B74:F74"/>
    <mergeCell ref="B75:F75"/>
    <mergeCell ref="B76:F76"/>
    <mergeCell ref="B77:F77"/>
    <mergeCell ref="B46:F46"/>
    <mergeCell ref="B68:F68"/>
    <mergeCell ref="B71:F71"/>
    <mergeCell ref="B72:F72"/>
    <mergeCell ref="B47:F47"/>
    <mergeCell ref="B48:F48"/>
    <mergeCell ref="B61:F61"/>
    <mergeCell ref="B65:F65"/>
    <mergeCell ref="J41:K41"/>
    <mergeCell ref="J2:K2"/>
    <mergeCell ref="B5:F5"/>
    <mergeCell ref="B78:F78"/>
    <mergeCell ref="B60:F60"/>
    <mergeCell ref="B62:F62"/>
    <mergeCell ref="B63:F63"/>
    <mergeCell ref="B64:F64"/>
  </mergeCells>
  <printOptions/>
  <pageMargins left="0.75" right="0.75" top="1" bottom="1" header="0.4921259845" footer="0.4921259845"/>
  <pageSetup orientation="portrait" paperSize="9" r:id="rId1"/>
  <ignoredErrors>
    <ignoredError sqref="J3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BLV-Nachwuchs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Isi's toller Vergleichsrechner</dc:title>
  <dc:subject>Vergleichsrechner verschiedener LA-Punktetabellen</dc:subject>
  <dc:creator>Isidor Fuchser</dc:creator>
  <cp:keywords/>
  <dc:description/>
  <cp:lastModifiedBy>Isidor Fuchser</cp:lastModifiedBy>
  <dcterms:created xsi:type="dcterms:W3CDTF">2003-06-12T06:23:16Z</dcterms:created>
  <dcterms:modified xsi:type="dcterms:W3CDTF">2003-10-29T09:37:08Z</dcterms:modified>
  <cp:category/>
  <cp:version/>
  <cp:contentType/>
  <cp:contentStatus/>
</cp:coreProperties>
</file>